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SERVER2019\Employee Data\OneDrive\2026 Forms ( Final)\2016 Tax Season\"/>
    </mc:Choice>
  </mc:AlternateContent>
  <xr:revisionPtr revIDLastSave="0" documentId="13_ncr:1_{73300A42-2A92-45E7-9014-465618B9016E}" xr6:coauthVersionLast="47" xr6:coauthVersionMax="47" xr10:uidLastSave="{00000000-0000-0000-0000-000000000000}"/>
  <bookViews>
    <workbookView xWindow="-120" yWindow="-120" windowWidth="29040" windowHeight="15720" activeTab="2" xr2:uid="{4F92BDD6-A49E-4317-9094-C4E48224540B}"/>
  </bookViews>
  <sheets>
    <sheet name="Cumulative Lifetime Exemption " sheetId="1" r:id="rId1"/>
    <sheet name="Tax Estimator" sheetId="5" r:id="rId2"/>
    <sheet name="Net Value" sheetId="2" r:id="rId3"/>
    <sheet name="RMD" sheetId="3" r:id="rId4"/>
  </sheets>
  <externalReferences>
    <externalReference r:id="rId5"/>
    <externalReference r:id="rId6"/>
  </externalReferences>
  <definedNames>
    <definedName name="__IntlFixup" hidden="1">TRUE</definedName>
    <definedName name="_Order1" hidden="1">0</definedName>
    <definedName name="categories">OFFSET([1]Categories!$A$1,0,0,MATCH(REPT("z",255),[1]Categories!$A$1:$A$65536),1)</definedName>
    <definedName name="Data.Dump" localSheetId="1" hidden="1">OFFSET([0]!Data.Top.Left,1,0)</definedName>
    <definedName name="Data.Dump" hidden="1">OFFSET([0]!Data.Top.Left,1,0)</definedName>
    <definedName name="HTML_CodePage" hidden="1">1252</definedName>
    <definedName name="HTML_Control" localSheetId="1" hidden="1">{"'Leverage'!$B$2:$M$418"}</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 localSheetId="1">'Tax Estimator'!Macro1</definedName>
    <definedName name="Macro1">[0]!Macro1</definedName>
    <definedName name="Macro2" localSheetId="1">'Tax Estimator'!Macro2</definedName>
    <definedName name="Macro2">[0]!Macro2</definedName>
    <definedName name="Ownership" localSheetId="1" hidden="1">OFFSET([0]!Data.Top.Left,1,0)</definedName>
    <definedName name="Ownership" hidden="1">OFFSET([0]!Data.Top.Left,1,0)</definedName>
    <definedName name="_xlnm.Print_Area" localSheetId="3">RMD!$A$1:$L$43</definedName>
    <definedName name="Purpose">#REF!</definedName>
    <definedName name="status_list" localSheetId="1">'Tax Estimator'!$AO$25:$AO$28</definedName>
    <definedName name="status_list">#REF!</definedName>
    <definedName name="tax_table" localSheetId="1">'Tax Estimator'!$AC$24:$AL$46</definedName>
    <definedName name="tax_table">#REF!</definedName>
    <definedName name="valuevx">42.314159</definedName>
    <definedName name="vertex42_copyright" hidden="1">"© 2010-2019 by Vertex42.com"</definedName>
    <definedName name="vertex42_id" hidden="1">"expense-reimbursement-form.xlsx"</definedName>
    <definedName name="vertex42_title" hidden="1">"Expense Reimbursement Form"</definedName>
    <definedName name="year_list" localSheetId="1">'Tax Estimator'!$AL$12:$AL$13</definedName>
    <definedName name="year_lis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2" i="5" l="1"/>
  <c r="L60" i="5"/>
  <c r="L59" i="5"/>
  <c r="F58" i="5"/>
  <c r="I54" i="5"/>
  <c r="E54" i="5"/>
  <c r="C51" i="5"/>
  <c r="D51" i="5" s="1"/>
  <c r="D50" i="5"/>
  <c r="C50" i="5"/>
  <c r="E52" i="5" s="1"/>
  <c r="I47" i="5"/>
  <c r="I46" i="5"/>
  <c r="E45" i="5"/>
  <c r="V22" i="5" s="1"/>
  <c r="I44" i="5"/>
  <c r="E35" i="5"/>
  <c r="I34" i="5"/>
  <c r="I33" i="5"/>
  <c r="E33" i="5"/>
  <c r="AS32" i="5"/>
  <c r="BD4" i="5" s="1"/>
  <c r="AR32" i="5"/>
  <c r="I32" i="5"/>
  <c r="AS31" i="5"/>
  <c r="E31" i="5"/>
  <c r="N30" i="5"/>
  <c r="N28" i="5" s="1"/>
  <c r="I27" i="5"/>
  <c r="H27" i="5"/>
  <c r="G27" i="5"/>
  <c r="L23" i="5"/>
  <c r="M30" i="5" s="1"/>
  <c r="AU21" i="5" a="1"/>
  <c r="AU21" i="5" s="1"/>
  <c r="A50" i="5" s="1"/>
  <c r="E18" i="5"/>
  <c r="G58" i="5" s="1"/>
  <c r="C18" i="5"/>
  <c r="AV11" i="5" s="1"/>
  <c r="AV14" i="5" s="1"/>
  <c r="L15" i="5"/>
  <c r="K15" i="5"/>
  <c r="G15" i="5"/>
  <c r="L14" i="5"/>
  <c r="K14" i="5"/>
  <c r="AV13" i="5"/>
  <c r="B13" i="5"/>
  <c r="M12" i="5"/>
  <c r="G12" i="5"/>
  <c r="B12" i="5"/>
  <c r="C20" i="5" s="1"/>
  <c r="M11" i="5"/>
  <c r="R10" i="5"/>
  <c r="G10" i="5"/>
  <c r="G9" i="5"/>
  <c r="AC8" i="5" a="1"/>
  <c r="AC8" i="5" s="1"/>
  <c r="V8" i="5"/>
  <c r="V7" i="5"/>
  <c r="G7" i="5"/>
  <c r="V6" i="5"/>
  <c r="I31" i="5" s="1"/>
  <c r="AG5" i="5"/>
  <c r="AD5" i="5"/>
  <c r="R27" i="5" s="1"/>
  <c r="H5" i="5"/>
  <c r="G8" i="5" s="1"/>
  <c r="O4" i="5"/>
  <c r="M25" i="5" s="1"/>
  <c r="L4" i="5"/>
  <c r="BA3" i="5"/>
  <c r="L3" i="5"/>
  <c r="O3" i="5" s="1"/>
  <c r="V2" i="5"/>
  <c r="V10" i="5" s="1"/>
  <c r="M24" i="5" l="1"/>
  <c r="M27" i="5" s="1"/>
  <c r="L24" i="5"/>
  <c r="L27" i="5" s="1"/>
  <c r="M23" i="5"/>
  <c r="E51" i="5"/>
  <c r="E50" i="5"/>
  <c r="D52" i="5" s="1"/>
  <c r="F51" i="5" s="1"/>
  <c r="F52" i="5" s="1"/>
  <c r="G13" i="5"/>
  <c r="AU15" i="5"/>
  <c r="F16" i="5" s="1"/>
  <c r="G11" i="5"/>
  <c r="G18" i="5" s="1"/>
  <c r="G14" i="5"/>
  <c r="G16" i="5"/>
  <c r="E20" i="5"/>
  <c r="F21" i="5" s="1"/>
  <c r="L25" i="5"/>
  <c r="G52" i="5" l="1"/>
  <c r="F18" i="5"/>
  <c r="M45" i="5"/>
  <c r="F22" i="5"/>
  <c r="M59" i="5" l="1"/>
  <c r="F60" i="5" s="1"/>
  <c r="R12" i="5" s="1"/>
  <c r="BD3" i="5"/>
  <c r="J46" i="5"/>
  <c r="F34" i="5"/>
  <c r="F33" i="5" s="1"/>
  <c r="G33" i="5" s="1"/>
  <c r="V5" i="5"/>
  <c r="F44" i="5"/>
  <c r="F35" i="5" s="1"/>
  <c r="G35" i="5" s="1"/>
  <c r="J47" i="5"/>
  <c r="R4" i="5"/>
  <c r="F24" i="5"/>
  <c r="F28" i="5" s="1"/>
  <c r="F54" i="5"/>
  <c r="G54" i="5" s="1"/>
  <c r="F53" i="5"/>
  <c r="F45" i="5"/>
  <c r="G45" i="5" s="1"/>
  <c r="G47" i="5" s="1"/>
  <c r="F32" i="5"/>
  <c r="F31" i="5" s="1"/>
  <c r="G31" i="5" s="1"/>
  <c r="V15" i="5" l="1"/>
  <c r="V16" i="5" s="1"/>
  <c r="V18" i="5" s="1"/>
  <c r="V21" i="5" s="1"/>
  <c r="V23" i="5" s="1"/>
  <c r="X10" i="5"/>
  <c r="X11" i="5" s="1"/>
  <c r="X12" i="5" s="1"/>
  <c r="V12" i="5"/>
  <c r="V9" i="5"/>
  <c r="E49" i="5"/>
  <c r="F49" i="5" s="1"/>
  <c r="G49" i="5" s="1"/>
  <c r="G56" i="5" s="1"/>
  <c r="G68" i="5" s="1"/>
  <c r="F27" i="5" a="1"/>
  <c r="F27" i="5" s="1"/>
  <c r="N26" i="5" s="1"/>
  <c r="F47" i="5" s="1"/>
  <c r="R6" i="5" s="1"/>
  <c r="AJ7" i="5" s="1" a="1"/>
  <c r="AJ7" i="5" s="1"/>
  <c r="AJ9" i="5" l="1"/>
  <c r="AP8" i="5" a="1"/>
  <c r="AP8" i="5" s="1"/>
  <c r="AF8" i="5" a="1"/>
  <c r="AF8" i="5" s="1"/>
  <c r="AJ8" i="5" a="1"/>
  <c r="AJ8" i="5" s="1"/>
  <c r="AJ10" i="5" l="1"/>
  <c r="AG18" i="5" s="1"/>
  <c r="F56" i="5"/>
  <c r="AF16" i="5"/>
  <c r="AG8" i="5" a="1"/>
  <c r="AG8" i="5" s="1"/>
  <c r="AG16" i="5" s="1"/>
  <c r="C68" i="5"/>
  <c r="H68" i="5" s="1"/>
  <c r="AE18" i="5"/>
  <c r="F68" i="5" l="1"/>
  <c r="R8" i="5"/>
  <c r="R26" i="5" s="1"/>
  <c r="R28" i="5" s="1"/>
  <c r="BD6" i="5"/>
  <c r="BD7" i="5" s="1"/>
  <c r="BD28" i="5" s="1"/>
  <c r="E64" i="5"/>
  <c r="F64" i="5" l="1"/>
  <c r="R14" i="5"/>
  <c r="P14" i="5" s="1"/>
  <c r="G64" i="5" l="1"/>
  <c r="G66" i="5" s="1"/>
  <c r="F66" i="5"/>
  <c r="K11" i="3" l="1"/>
  <c r="K13" i="3" s="1"/>
  <c r="G15" i="3" s="1"/>
  <c r="E23" i="2"/>
  <c r="E22" i="2"/>
  <c r="E5" i="2" l="1"/>
  <c r="D27" i="2"/>
  <c r="C27" i="2"/>
  <c r="E18" i="2"/>
  <c r="E17" i="2"/>
  <c r="E12" i="2"/>
  <c r="E11" i="2"/>
  <c r="E10" i="2"/>
  <c r="E6" i="2"/>
  <c r="B6" i="1"/>
  <c r="B5" i="1"/>
  <c r="H28" i="1"/>
  <c r="H29" i="1"/>
  <c r="H30" i="1"/>
  <c r="H31" i="1"/>
  <c r="H32" i="1"/>
  <c r="H33" i="1"/>
  <c r="H34" i="1"/>
  <c r="E28" i="1"/>
  <c r="E29" i="1"/>
  <c r="E30" i="1"/>
  <c r="E31" i="1"/>
  <c r="E32" i="1"/>
  <c r="E33" i="1"/>
  <c r="E34" i="1"/>
  <c r="L11" i="1"/>
  <c r="E11" i="1" s="1"/>
  <c r="F11" i="1" s="1"/>
  <c r="L12" i="1"/>
  <c r="E12" i="1" s="1"/>
  <c r="F12" i="1" s="1"/>
  <c r="L13" i="1"/>
  <c r="E13" i="1" s="1"/>
  <c r="F13" i="1" s="1"/>
  <c r="L14" i="1"/>
  <c r="E14" i="1" s="1"/>
  <c r="F14" i="1" s="1"/>
  <c r="L15" i="1"/>
  <c r="E15" i="1" s="1"/>
  <c r="F15" i="1" s="1"/>
  <c r="L16" i="1"/>
  <c r="E16" i="1" s="1"/>
  <c r="F16" i="1" s="1"/>
  <c r="L17" i="1"/>
  <c r="E17" i="1" s="1"/>
  <c r="F17" i="1" s="1"/>
  <c r="L18" i="1"/>
  <c r="E18" i="1" s="1"/>
  <c r="F18" i="1" s="1"/>
  <c r="L19" i="1"/>
  <c r="E19" i="1" s="1"/>
  <c r="F19" i="1" s="1"/>
  <c r="L20" i="1"/>
  <c r="E20" i="1" s="1"/>
  <c r="F20" i="1" s="1"/>
  <c r="L21" i="1"/>
  <c r="E21" i="1" s="1"/>
  <c r="F21" i="1" s="1"/>
  <c r="L22" i="1"/>
  <c r="E22" i="1" s="1"/>
  <c r="F22" i="1" s="1"/>
  <c r="L23" i="1"/>
  <c r="E23" i="1" s="1"/>
  <c r="F23" i="1" s="1"/>
  <c r="L24" i="1"/>
  <c r="E24" i="1" s="1"/>
  <c r="F24" i="1" s="1"/>
  <c r="L25" i="1"/>
  <c r="E25" i="1" s="1"/>
  <c r="F25" i="1" s="1"/>
  <c r="L26" i="1"/>
  <c r="E26" i="1" s="1"/>
  <c r="F26" i="1" s="1"/>
  <c r="L27" i="1"/>
  <c r="E27" i="1" s="1"/>
  <c r="F27" i="1" s="1"/>
  <c r="H2" i="1"/>
  <c r="L10" i="1" s="1"/>
  <c r="E10" i="1" s="1"/>
  <c r="F10" i="1" s="1"/>
  <c r="H3" i="1"/>
  <c r="H4" i="1"/>
  <c r="H5" i="1"/>
  <c r="H6" i="1"/>
  <c r="H7" i="1"/>
  <c r="H8" i="1"/>
  <c r="H9" i="1"/>
  <c r="H10" i="1"/>
  <c r="H11" i="1"/>
  <c r="H12" i="1"/>
  <c r="H13" i="1"/>
  <c r="H14" i="1"/>
  <c r="H15" i="1"/>
  <c r="H16" i="1"/>
  <c r="H17" i="1"/>
  <c r="H18" i="1"/>
  <c r="H19" i="1"/>
  <c r="H20" i="1"/>
  <c r="H21" i="1"/>
  <c r="H22" i="1"/>
  <c r="H23" i="1"/>
  <c r="H24" i="1"/>
  <c r="H25" i="1"/>
  <c r="H26" i="1"/>
  <c r="H27" i="1"/>
  <c r="H1" i="1"/>
  <c r="L9" i="1" s="1"/>
  <c r="F28" i="1"/>
  <c r="F29" i="1"/>
  <c r="F30" i="1"/>
  <c r="F31" i="1"/>
  <c r="F32" i="1"/>
  <c r="F33" i="1"/>
  <c r="F34" i="1"/>
  <c r="E27" i="2" l="1"/>
  <c r="E9" i="1"/>
  <c r="F9"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<sst xmlns="http://schemas.openxmlformats.org/spreadsheetml/2006/main" count="274" uniqueCount="232">
  <si>
    <t>Current Annual Exclusion</t>
  </si>
  <si>
    <t>Update this value each year.</t>
  </si>
  <si>
    <t>Lifetime Exemption Limit</t>
  </si>
  <si>
    <t>Update this value for your current tax year.</t>
  </si>
  <si>
    <t>Cumulative Taxable Gifts (Total)</t>
  </si>
  <si>
    <t>This will auto-calculate.</t>
  </si>
  <si>
    <t>Remaining Lifetime Exemption</t>
  </si>
  <si>
    <t>Date</t>
  </si>
  <si>
    <t>Recipient Name</t>
  </si>
  <si>
    <t>Relationship</t>
  </si>
  <si>
    <t>Value of Gift</t>
  </si>
  <si>
    <t>Annual Exclusion Used</t>
  </si>
  <si>
    <t>Taxable Gift (Counts Against Lifetime Exemption)</t>
  </si>
  <si>
    <t>John Smith</t>
  </si>
  <si>
    <t>Son</t>
  </si>
  <si>
    <t>Name</t>
  </si>
  <si>
    <t>Gift Details ( Check Images, Bank Statements, etc.)</t>
  </si>
  <si>
    <t>Sample</t>
  </si>
  <si>
    <t>Category</t>
  </si>
  <si>
    <t>Asset Name / Location</t>
  </si>
  <si>
    <t>Market Value (FMV)</t>
  </si>
  <si>
    <t>Liability / Debt</t>
  </si>
  <si>
    <t>Net Value (Equity)</t>
  </si>
  <si>
    <t>1. Real Estate</t>
  </si>
  <si>
    <t>Real Estate</t>
  </si>
  <si>
    <t>Primary Residence (123 Oak St.)</t>
  </si>
  <si>
    <t>Mountain Cabin (Rental)</t>
  </si>
  <si>
    <t>2. Financial Accounts</t>
  </si>
  <si>
    <t>Bank Account</t>
  </si>
  <si>
    <t>Checking (Acct 1234)</t>
  </si>
  <si>
    <t>Investment</t>
  </si>
  <si>
    <t>Brokerage Account (Fidelity)</t>
  </si>
  <si>
    <t>Retirement</t>
  </si>
  <si>
    <t>Roth IRA (Vanguard)</t>
  </si>
  <si>
    <t>3. Tangible &amp; Personal</t>
  </si>
  <si>
    <t>Vehicle</t>
  </si>
  <si>
    <t>Sedan (2023 Model)</t>
  </si>
  <si>
    <t>Personal Property</t>
  </si>
  <si>
    <t>Fine Art Collection</t>
  </si>
  <si>
    <t>4. Liabilities (Pure Debt)</t>
  </si>
  <si>
    <t>Debt</t>
  </si>
  <si>
    <t>Credit Card Debt (Visa)</t>
  </si>
  <si>
    <t>Student Loan (Sallie Mae)</t>
  </si>
  <si>
    <t>5. Summary</t>
  </si>
  <si>
    <t>TOTAL NET WORTH</t>
  </si>
  <si>
    <t xml:space="preserve"> </t>
  </si>
  <si>
    <t>Required Minimum Distribution (RMD)</t>
  </si>
  <si>
    <t>The Required Minimum Distribution (RMD) is the minimum amount that owners of traditional IRAs, SEP IRAs, SIMPLE IRAs, and most employer-sponsored retirement plans (like 401(k)s) must withdraw annually once they reach a certain age (currently age 73).</t>
  </si>
  <si>
    <t>Important RMD Rules</t>
  </si>
  <si>
    <r>
      <t>Starting Age:</t>
    </r>
    <r>
      <rPr>
        <sz val="12"/>
        <color theme="1"/>
        <rFont val="Aptos"/>
        <family val="2"/>
      </rPr>
      <t xml:space="preserve"> For individuals who were born between 1951 and 1959, RMDs generally begin in the year you turn </t>
    </r>
    <r>
      <rPr>
        <b/>
        <sz val="12"/>
        <color theme="1"/>
        <rFont val="Aptos"/>
        <family val="2"/>
      </rPr>
      <t>73</t>
    </r>
    <r>
      <rPr>
        <sz val="12"/>
        <color theme="1"/>
        <rFont val="Aptos"/>
        <family val="2"/>
      </rPr>
      <t xml:space="preserve">. For those born in 1960 or later, the RMD age is scheduled to be </t>
    </r>
    <r>
      <rPr>
        <b/>
        <sz val="12"/>
        <color theme="1"/>
        <rFont val="Aptos"/>
        <family val="2"/>
      </rPr>
      <t>75</t>
    </r>
  </si>
  <si>
    <r>
      <t>First RMD Deadline:</t>
    </r>
    <r>
      <rPr>
        <sz val="12"/>
        <color theme="1"/>
        <rFont val="Aptos"/>
        <family val="2"/>
      </rPr>
      <t xml:space="preserve"> You can delay your very first RMD until </t>
    </r>
    <r>
      <rPr>
        <b/>
        <sz val="12"/>
        <color theme="1"/>
        <rFont val="Aptos"/>
        <family val="2"/>
      </rPr>
      <t>April 1st of the year following</t>
    </r>
    <r>
      <rPr>
        <sz val="12"/>
        <color theme="1"/>
        <rFont val="Aptos"/>
        <family val="2"/>
      </rPr>
      <t xml:space="preserve"> the year you reach the required beginning age. However, if you wait, you will have to take two RMDs in that single year (your first RMD by April 1st and your second RMD by December 31st), which could increase your taxable income significantly</t>
    </r>
  </si>
  <si>
    <r>
      <t>Subsequent RMD Deadline:</t>
    </r>
    <r>
      <rPr>
        <sz val="12"/>
        <color theme="1"/>
        <rFont val="Aptos"/>
        <family val="2"/>
      </rPr>
      <t xml:space="preserve"> All RMDs after the first one must be taken by </t>
    </r>
    <r>
      <rPr>
        <b/>
        <sz val="12"/>
        <color theme="1"/>
        <rFont val="Aptos"/>
        <family val="2"/>
      </rPr>
      <t>December 31st</t>
    </r>
    <r>
      <rPr>
        <sz val="12"/>
        <color theme="1"/>
        <rFont val="Aptos"/>
        <family val="2"/>
      </rPr>
      <t xml:space="preserve"> of that calendar year</t>
    </r>
  </si>
  <si>
    <r>
      <t>Penalty for Missing RMD:</t>
    </r>
    <r>
      <rPr>
        <sz val="12"/>
        <color theme="1"/>
        <rFont val="Aptos"/>
        <family val="2"/>
      </rPr>
      <t xml:space="preserve"> Failing to take the full RMD amount by the deadline results in a penalty of </t>
    </r>
    <r>
      <rPr>
        <b/>
        <sz val="12"/>
        <color theme="1"/>
        <rFont val="Aptos"/>
        <family val="2"/>
      </rPr>
      <t>25%</t>
    </r>
    <r>
      <rPr>
        <sz val="12"/>
        <color theme="1"/>
        <rFont val="Aptos"/>
        <family val="2"/>
      </rPr>
      <t xml:space="preserve"> of the amount not withdrawn (which can be reduced to 10% if corrected in a timely manner)</t>
    </r>
  </si>
  <si>
    <t>Multiple Accounts:</t>
  </si>
  <si>
    <r>
      <t>IRAs:</t>
    </r>
    <r>
      <rPr>
        <sz val="12"/>
        <color theme="1"/>
        <rFont val="Aptos"/>
        <family val="2"/>
      </rPr>
      <t xml:space="preserve"> You must calculate the RMD for </t>
    </r>
    <r>
      <rPr>
        <i/>
        <sz val="12"/>
        <color theme="1"/>
        <rFont val="Aptos"/>
        <family val="2"/>
      </rPr>
      <t>each</t>
    </r>
    <r>
      <rPr>
        <sz val="12"/>
        <color theme="1"/>
        <rFont val="Aptos"/>
        <family val="2"/>
      </rPr>
      <t xml:space="preserve"> of your traditional IRAs separately, but you can withdraw the total combined RMD amount from </t>
    </r>
    <r>
      <rPr>
        <i/>
        <sz val="12"/>
        <color theme="1"/>
        <rFont val="Aptos"/>
        <family val="2"/>
      </rPr>
      <t>any one</t>
    </r>
    <r>
      <rPr>
        <sz val="12"/>
        <color theme="1"/>
        <rFont val="Aptos"/>
        <family val="2"/>
      </rPr>
      <t xml:space="preserve"> or </t>
    </r>
    <r>
      <rPr>
        <i/>
        <sz val="12"/>
        <color theme="1"/>
        <rFont val="Aptos"/>
        <family val="2"/>
      </rPr>
      <t>any combination</t>
    </r>
    <r>
      <rPr>
        <sz val="12"/>
        <color theme="1"/>
        <rFont val="Aptos"/>
        <family val="2"/>
      </rPr>
      <t xml:space="preserve"> of your IRAs</t>
    </r>
  </si>
  <si>
    <r>
      <t>401(k)s/403(b)s:</t>
    </r>
    <r>
      <rPr>
        <sz val="12"/>
        <color theme="1"/>
        <rFont val="Aptos"/>
        <family val="2"/>
      </rPr>
      <t xml:space="preserve"> RMDs must generally be calculated and taken separately from each account. (An exception allows 403(b) RMDs to be aggregated.)</t>
    </r>
  </si>
  <si>
    <r>
      <t>Roth IRAs:</t>
    </r>
    <r>
      <rPr>
        <sz val="12"/>
        <color theme="1"/>
        <rFont val="Aptos"/>
        <family val="2"/>
      </rPr>
      <t xml:space="preserve"> Roth IRAs do not require RMDs while the original owner is alive.</t>
    </r>
  </si>
  <si>
    <t>Current Year</t>
  </si>
  <si>
    <t>Date of Birth</t>
  </si>
  <si>
    <t>Age</t>
  </si>
  <si>
    <t>Prior Year-End Account Balance as of Dec 31st</t>
  </si>
  <si>
    <t>Life Expectancy Factor</t>
  </si>
  <si>
    <t xml:space="preserve">Age  </t>
  </si>
  <si>
    <t>Life Expectancy Facto</t>
  </si>
  <si>
    <t>RMD Calculator For:</t>
  </si>
  <si>
    <t>Single</t>
  </si>
  <si>
    <t>MFJ</t>
  </si>
  <si>
    <t>MFS</t>
  </si>
  <si>
    <t>HH</t>
  </si>
  <si>
    <t xml:space="preserve">Tax Estimator </t>
  </si>
  <si>
    <t>Please select the tax year</t>
  </si>
  <si>
    <t>A1</t>
  </si>
  <si>
    <t>Qualified Business Income (QBI)</t>
  </si>
  <si>
    <t>Your Name</t>
  </si>
  <si>
    <t>No of Dependents Less than 17 Years</t>
  </si>
  <si>
    <t>B1</t>
  </si>
  <si>
    <t>W-2 Wages paid by the business</t>
  </si>
  <si>
    <t>Income Tax Bracket Calculation</t>
  </si>
  <si>
    <t>Your Date of Birth</t>
  </si>
  <si>
    <t>No of Dependents aged 17 or above</t>
  </si>
  <si>
    <t>C1</t>
  </si>
  <si>
    <t>Unadjusted Basis Immediately After Acquisition (UBIA) of qualified property</t>
  </si>
  <si>
    <t>Spouse Date of Birth</t>
  </si>
  <si>
    <t>Please select your filing status</t>
  </si>
  <si>
    <t>May</t>
  </si>
  <si>
    <t>Please select the filing status</t>
  </si>
  <si>
    <t>D1</t>
  </si>
  <si>
    <t>Total Taxable Income (TI)</t>
  </si>
  <si>
    <t>Filing as</t>
  </si>
  <si>
    <t>With MAP</t>
  </si>
  <si>
    <t>Income Source</t>
  </si>
  <si>
    <t xml:space="preserve">Estimated /Withholding Tax </t>
  </si>
  <si>
    <t>Amount $$$$</t>
  </si>
  <si>
    <t xml:space="preserve">Estimated Full Year Income </t>
  </si>
  <si>
    <t>Additional Medicare Tax</t>
  </si>
  <si>
    <t>Summary</t>
  </si>
  <si>
    <t>E1</t>
  </si>
  <si>
    <t>Lower Phase-in Threshold (e.g., $182,100 for Single, $364,200 for Married Filing Jointly for 2023)</t>
  </si>
  <si>
    <t>Your W-2 Wages (Column 1)</t>
  </si>
  <si>
    <t>Your W2 Fed Tax withholding (Col 2)</t>
  </si>
  <si>
    <t>Filing Status</t>
  </si>
  <si>
    <t>Income Threshold</t>
  </si>
  <si>
    <t>F1</t>
  </si>
  <si>
    <t>Upper Phase-out Threshold (Lower Threshold + $50,000 for Single, +$100,000 for MFJ for 2023)</t>
  </si>
  <si>
    <t>From</t>
  </si>
  <si>
    <t>To</t>
  </si>
  <si>
    <t>Tax rate</t>
  </si>
  <si>
    <t>Income</t>
  </si>
  <si>
    <t>Taxes</t>
  </si>
  <si>
    <t xml:space="preserve">Taxable Income </t>
  </si>
  <si>
    <t>Spouse W2 Fed Tax withholding (Col 2)</t>
  </si>
  <si>
    <t>G1</t>
  </si>
  <si>
    <t>Phase-in/Phase-out Range (F1 - E1)</t>
  </si>
  <si>
    <t>Interest/Dividends (Taxable)</t>
  </si>
  <si>
    <t>Estimated Tax Payments</t>
  </si>
  <si>
    <t>H1</t>
  </si>
  <si>
    <t>Taxable Income Above Lower Threshold</t>
  </si>
  <si>
    <t>Marginal Rate</t>
  </si>
  <si>
    <t>Federal Tax withholding from 1099</t>
  </si>
  <si>
    <t>I1</t>
  </si>
  <si>
    <t>Maximum QBI Deduction (20% of QBI)</t>
  </si>
  <si>
    <t>Effective Rate</t>
  </si>
  <si>
    <t>Combined Income</t>
  </si>
  <si>
    <t>Net Rental/Other Income</t>
  </si>
  <si>
    <t>Your Pre Tax Items (401K/HSA etc)</t>
  </si>
  <si>
    <t>Qualifying Widow(er)</t>
  </si>
  <si>
    <t>Adjusted Gross Income</t>
  </si>
  <si>
    <t>Year</t>
  </si>
  <si>
    <t>Total income</t>
  </si>
  <si>
    <t>Spouse Pre Tax Items (401K/HSA etc)</t>
  </si>
  <si>
    <t>QBI</t>
  </si>
  <si>
    <t>Non Taxable Interest income</t>
  </si>
  <si>
    <t xml:space="preserve">HSA (Outside of W2)/Traditional IRA </t>
  </si>
  <si>
    <t>Taxable Income</t>
  </si>
  <si>
    <t>AQ</t>
  </si>
  <si>
    <t>1/2 of Social Security</t>
  </si>
  <si>
    <t>Net S Corp Income</t>
  </si>
  <si>
    <t>Your LLC /Self Employed</t>
  </si>
  <si>
    <t>Self-employed health insurance deduction</t>
  </si>
  <si>
    <t>Estimated Tax Due</t>
  </si>
  <si>
    <t>(Excess TI)</t>
  </si>
  <si>
    <t>Spouse LLC /Self Employed</t>
  </si>
  <si>
    <t>Please Select</t>
  </si>
  <si>
    <t>(Phase-in %)</t>
  </si>
  <si>
    <t>Adjusted Gross Income (AGI)</t>
  </si>
  <si>
    <t>Jan</t>
  </si>
  <si>
    <t>Total Tax Withheld</t>
  </si>
  <si>
    <t>(AP - Raw)</t>
  </si>
  <si>
    <t>(AP - Final)</t>
  </si>
  <si>
    <t>Tax rate table</t>
  </si>
  <si>
    <t>Extra Standard Deduction is $2,000 (Single) or $1,600 (MFJ/MFS) per person who is 65+ or Blind.</t>
  </si>
  <si>
    <t>Tax Rate</t>
  </si>
  <si>
    <t>Single Taxpayer</t>
  </si>
  <si>
    <t>Married Filing Jointly</t>
  </si>
  <si>
    <t>Married Filing Separately</t>
  </si>
  <si>
    <t>Head of Household</t>
  </si>
  <si>
    <t>$6000 senior deduction (65+) phaseout starts at $75k (Single) / $150k (MFJ).</t>
  </si>
  <si>
    <t>Tax payer status</t>
  </si>
  <si>
    <t>Feb</t>
  </si>
  <si>
    <t>Property Tax</t>
  </si>
  <si>
    <t xml:space="preserve">Mortgage Interest </t>
  </si>
  <si>
    <t>Donations</t>
  </si>
  <si>
    <t xml:space="preserve"> State Tax </t>
  </si>
  <si>
    <t>Tax Planning Worksheet</t>
  </si>
  <si>
    <t>Apr</t>
  </si>
  <si>
    <t>and up</t>
  </si>
  <si>
    <t>Social Security and Medicare Tax</t>
  </si>
  <si>
    <t>No Tax on Tips Deduction</t>
  </si>
  <si>
    <t>State Income Tax</t>
  </si>
  <si>
    <t>Federal Income Tax</t>
  </si>
  <si>
    <t>New Car Loan Interest Deduction (2025 loan, U.S.-assembled vehicles)</t>
  </si>
  <si>
    <t>Net Income After all the Deductions</t>
  </si>
  <si>
    <t>The QBI deduction (Single filers: $197,300, MFJ: 394,600,HHH:197,300)</t>
  </si>
  <si>
    <t>Jun</t>
  </si>
  <si>
    <t>Gross Mortgage Yearly</t>
  </si>
  <si>
    <t>Projected Taxable Income after the IRA/HSA/QBI/Bonus Deductions</t>
  </si>
  <si>
    <t>Jul</t>
  </si>
  <si>
    <t>Property Tax, Insurance</t>
  </si>
  <si>
    <t>Aug</t>
  </si>
  <si>
    <t>Health Insurance</t>
  </si>
  <si>
    <t>Sep</t>
  </si>
  <si>
    <t>Kids College/School Exp</t>
  </si>
  <si>
    <t>Oct</t>
  </si>
  <si>
    <t>Parents Expense</t>
  </si>
  <si>
    <t>Vacation Expense</t>
  </si>
  <si>
    <t>Nov</t>
  </si>
  <si>
    <t>Unallowed Business Loss ( Passive)</t>
  </si>
  <si>
    <t>Dec</t>
  </si>
  <si>
    <t xml:space="preserve">Medical Expense </t>
  </si>
  <si>
    <t>Net Investment Tax ( AGI above 250K for MFJ, 200K for Single/ HH/MFS)</t>
  </si>
  <si>
    <t xml:space="preserve">Car Payments </t>
  </si>
  <si>
    <t xml:space="preserve">Projected Total Tax </t>
  </si>
  <si>
    <t>Income Tax Withholding and Estimated Tax Payments (Total)</t>
  </si>
  <si>
    <t>Child Tax Credit ($2,200 per child under 17 and $500 for other dependents)</t>
  </si>
  <si>
    <t>Net Income Available for Planning</t>
  </si>
  <si>
    <t>Enter various Income Tax Credits, including College and Solar credits.</t>
  </si>
  <si>
    <t>Net Tax Due (IRS) or Refund (A negative result means a refund.)</t>
  </si>
  <si>
    <t>Add 5% for safety since the calculation is approximately 95% accurate.</t>
  </si>
  <si>
    <t>Average Rate ( Tax Tax/Total Income)</t>
  </si>
  <si>
    <t>Tax Year</t>
  </si>
  <si>
    <t>Taxable Amount</t>
  </si>
  <si>
    <t>Spouse W-2 Wages  (Col 1)</t>
  </si>
  <si>
    <t>Pension/1099R Income</t>
  </si>
  <si>
    <t>Short Term Gain</t>
  </si>
  <si>
    <t>Credits (Child , College, Solar)</t>
  </si>
  <si>
    <t>Long Term Gain</t>
  </si>
  <si>
    <t>Other Deductions/Stock Loss</t>
  </si>
  <si>
    <t xml:space="preserve"> Social Security Income</t>
  </si>
  <si>
    <t>IRS Underpayment Penalty Safe Harbor Amount</t>
  </si>
  <si>
    <t>Total (Ex. Cap Gains &amp; Addl Tax)</t>
  </si>
  <si>
    <t>Unemployment Income</t>
  </si>
  <si>
    <t>Education and Renewable Energy Credits.</t>
  </si>
  <si>
    <t>Please list your personal expenses below ( Yearly)</t>
  </si>
  <si>
    <t>Total Before the capital gain</t>
  </si>
  <si>
    <t>2024 AGI (1040 Line 11)</t>
  </si>
  <si>
    <t>Social Security Limits</t>
  </si>
  <si>
    <t>For capital/stock losses:  Enter the value below (Only Loss)</t>
  </si>
  <si>
    <t>Short-Term Capital Gains</t>
  </si>
  <si>
    <t>Long-Term Capital Gains</t>
  </si>
  <si>
    <t>Short-Term Capital Losses</t>
  </si>
  <si>
    <t>Long-Term Capital Losses</t>
  </si>
  <si>
    <t>2024 Tax ( 1040 Line 24)</t>
  </si>
  <si>
    <t>Comparison of Standard vs. Itemized Deductions</t>
  </si>
  <si>
    <t>Standard Deduction</t>
  </si>
  <si>
    <t>Minimum Tax Due</t>
  </si>
  <si>
    <t xml:space="preserve">Safe Harbor Amount </t>
  </si>
  <si>
    <t>Overtime Income</t>
  </si>
  <si>
    <t>Tip Income</t>
  </si>
  <si>
    <t xml:space="preserve">Car Loan Interest </t>
  </si>
  <si>
    <t xml:space="preserve">No Tax on Overtime Deduction </t>
  </si>
  <si>
    <t>L T Capital Gain Tax @ 15% or 20% or  Smaller</t>
  </si>
  <si>
    <t>S S Portion (12.4%) and 2.9% Medicare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</si>
</sst>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4" formatCode="_(&quot;$&quot;* #,##0.00_);_(&quot;$&quot;* \(#,##0.00\);_(&quot;$&quot;* &quot;-&quot;??_);_(@_)"/>
    <numFmt numFmtId="164" formatCode="&quot;$&quot;#,##0.00"/>
    <numFmt numFmtId="165" formatCode="&quot;$&quot;#,##0"/>
    <numFmt numFmtId="166" formatCode="0.0%"/>
    <numFmt numFmtId="167" formatCode="&quot;$&quot;#,##0.0_);[Red]\(&quot;$&quot;#,##0.0\)"/>
    <numFmt numFmtId="168" formatCode="&quot;$&quot;#,##0.00;[Red]&quot;$&quot;#,##0.00"/>
    <numFmt numFmtId="169" formatCode="&quot;$&quot;#,##0.0"/>
    <numFmt numFmtId="170" formatCode="&quot;$&quot;#,##0.0000_);[Red]\(&quot;$&quot;#,##0.0000\)"/>
    <numFmt numFmtId="171" formatCode="&quot;$&quot;#,##0.000_);[Red]\(&quot;$&quot;#,##0.000\)"/>
  </numFmts>
  <fonts count="35" x14ac:knownFonts="1">
    <font>
      <sz val="11"/>
      <color theme="1"/>
      <name val="Aptos Narrow"/>
      <family val="2"/>
      <scheme val="minor"/>
    </font>
    <font>
      <sz val="8"/>
      <name val="Aptos Narrow"/>
      <family val="2"/>
      <scheme val="minor"/>
    </font>
    <font>
      <sz val="11"/>
      <color rgb="FFFF0000"/>
      <name val="Aptos Narrow"/>
      <family val="2"/>
      <scheme val="minor"/>
    </font>
    <font>
      <b/>
      <sz val="11"/>
      <color theme="1"/>
      <name val="Aptos Narrow"/>
      <family val="2"/>
      <scheme val="minor"/>
    </font>
    <font>
      <sz val="20"/>
      <color theme="1"/>
      <name val="Aptos Narrow"/>
      <family val="2"/>
      <scheme val="minor"/>
    </font>
    <font>
      <sz val="12"/>
      <color theme="1"/>
      <name val="Aptos"/>
      <family val="2"/>
    </font>
    <font>
      <b/>
      <sz val="12"/>
      <color theme="1"/>
      <name val="Aptos"/>
      <family val="2"/>
    </font>
    <font>
      <i/>
      <sz val="12"/>
      <color theme="1"/>
      <name val="Aptos"/>
      <family val="2"/>
    </font>
    <font>
      <b/>
      <sz val="16"/>
      <color theme="1"/>
      <name val="Aptos Narrow"/>
      <family val="2"/>
      <scheme val="minor"/>
    </font>
    <font>
      <b/>
      <u/>
      <sz val="16"/>
      <color theme="1"/>
      <name val="Aptos Narrow"/>
      <family val="2"/>
      <scheme val="minor"/>
    </font>
    <font>
      <b/>
      <sz val="12"/>
      <color theme="1"/>
      <name val="Aptos Narrow"/>
      <family val="2"/>
      <scheme val="minor"/>
    </font>
    <font>
      <sz val="11"/>
      <color theme="1"/>
      <name val="Aptos Narrow"/>
      <family val="2"/>
      <scheme val="minor"/>
    </font>
    <font>
      <sz val="11"/>
      <color rgb="FF3F3F76"/>
      <name val="Aptos Narrow"/>
      <family val="2"/>
      <scheme val="minor"/>
    </font>
    <font>
      <sz val="11"/>
      <color theme="0"/>
      <name val="Aptos Narrow"/>
      <family val="2"/>
      <scheme val="minor"/>
    </font>
    <font>
      <b/>
      <sz val="24"/>
      <color theme="1"/>
      <name val="Aptos Narrow"/>
      <family val="2"/>
      <scheme val="minor"/>
    </font>
    <font>
      <sz val="11"/>
      <color theme="1"/>
      <name val="Arial"/>
      <family val="2"/>
    </font>
    <font>
      <b/>
      <sz val="14"/>
      <color theme="1"/>
      <name val="Aptos Narrow"/>
      <family val="2"/>
      <scheme val="minor"/>
    </font>
    <font>
      <b/>
      <sz val="18"/>
      <color theme="1"/>
      <name val="Aptos Narrow"/>
      <family val="2"/>
      <scheme val="minor"/>
    </font>
    <font>
      <b/>
      <sz val="11"/>
      <color rgb="FF3F3F76"/>
      <name val="Aptos Narrow"/>
      <family val="2"/>
      <scheme val="minor"/>
    </font>
    <font>
      <b/>
      <sz val="11"/>
      <color theme="1"/>
      <name val="Arial"/>
      <family val="2"/>
    </font>
    <font>
      <sz val="10"/>
      <color theme="1"/>
      <name val="Arial"/>
      <family val="2"/>
    </font>
    <font>
      <b/>
      <sz val="12"/>
      <color theme="1"/>
      <name val="Arial"/>
      <family val="2"/>
    </font>
    <font>
      <u/>
      <sz val="11"/>
      <color theme="10"/>
      <name val="Aptos Narrow"/>
      <family val="2"/>
      <scheme val="minor"/>
    </font>
    <font>
      <u/>
      <sz val="11"/>
      <color theme="0"/>
      <name val="Aptos Narrow"/>
      <family val="2"/>
      <scheme val="minor"/>
    </font>
    <font>
      <sz val="11"/>
      <name val="Arial"/>
      <family val="2"/>
    </font>
    <font>
      <b/>
      <sz val="11"/>
      <color rgb="FFFF0000"/>
      <name val="Aptos Narrow"/>
      <family val="2"/>
      <scheme val="minor"/>
    </font>
    <font>
      <sz val="11"/>
      <color theme="0"/>
      <name val="Arial"/>
      <family val="2"/>
    </font>
    <font>
      <sz val="11"/>
      <color rgb="FFFF0000"/>
      <name val="Arial"/>
      <family val="2"/>
    </font>
    <font>
      <b/>
      <sz val="12"/>
      <color rgb="FFFF0000"/>
      <name val="Arial"/>
      <family val="2"/>
    </font>
    <font>
      <b/>
      <sz val="11"/>
      <color rgb="FF0070C0"/>
      <name val="Aptos Narrow"/>
      <family val="2"/>
      <scheme val="minor"/>
    </font>
    <font>
      <b/>
      <sz val="11"/>
      <color theme="0"/>
      <name val="Aptos Narrow"/>
      <family val="2"/>
      <scheme val="minor"/>
    </font>
    <font>
      <b/>
      <sz val="10"/>
      <color theme="1"/>
      <name val="Aptos Narrow"/>
      <family val="2"/>
      <scheme val="minor"/>
    </font>
    <font>
      <sz val="11"/>
      <color theme="3"/>
      <name val="Aptos Narrow"/>
      <family val="2"/>
      <scheme val="minor"/>
    </font>
    <font>
      <b/>
      <sz val="11"/>
      <color rgb="FFFF0000"/>
      <name val="Arial"/>
      <family val="2"/>
    </font>
    <font>
      <i/>
      <sz val="11"/>
      <color rgb="FFFF0000"/>
      <name val="Aptos Narrow"/>
      <family val="2"/>
      <scheme val="minor"/>
    </font>
  </fonts>
  <fills count="1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599963377788628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FFCC99"/>
      </patternFill>
    </fill>
    <fill>
      <patternFill patternType="solid">
        <fgColor rgb="FF00B0F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7" tint="0.59999389629810485"/>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right style="thin">
        <color rgb="FF7F7F7F"/>
      </right>
      <top style="medium">
        <color auto="1"/>
      </top>
      <bottom style="thin">
        <color auto="1"/>
      </bottom>
      <diagonal/>
    </border>
    <border>
      <left/>
      <right style="thin">
        <color rgb="FF7F7F7F"/>
      </right>
      <top/>
      <bottom style="thin">
        <color indexed="64"/>
      </bottom>
      <diagonal/>
    </border>
    <border>
      <left style="medium">
        <color rgb="FFCCCCCC"/>
      </left>
      <right style="medium">
        <color rgb="FFCCCCCC"/>
      </right>
      <top style="medium">
        <color rgb="FFCCCCCC"/>
      </top>
      <bottom style="medium">
        <color rgb="FFCCCCCC"/>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indexed="64"/>
      </left>
      <right/>
      <top/>
      <bottom/>
      <diagonal/>
    </border>
  </borders>
  <cellStyleXfs count="4">
    <xf numFmtId="0" fontId="0" fillId="0" borderId="0"/>
    <xf numFmtId="44" fontId="11" fillId="0" borderId="0" applyFont="0" applyFill="0" applyBorder="0" applyAlignment="0" applyProtection="0"/>
    <xf numFmtId="0" fontId="12" fillId="9" borderId="12" applyNumberFormat="0" applyAlignment="0" applyProtection="0"/>
    <xf numFmtId="0" fontId="22" fillId="0" borderId="0" applyNumberFormat="0" applyFill="0" applyBorder="0" applyAlignment="0" applyProtection="0"/>
  </cellStyleXfs>
  <cellXfs count="300">
    <xf numFmtId="0" fontId="0" fillId="0" borderId="0" xfId="0"/>
    <xf numFmtId="0" fontId="0" fillId="0" borderId="1" xfId="0" applyBorder="1"/>
    <xf numFmtId="14" fontId="0" fillId="0" borderId="0" xfId="0" applyNumberFormat="1" applyAlignment="1">
      <alignment horizontal="center"/>
    </xf>
    <xf numFmtId="0" fontId="0" fillId="0" borderId="0" xfId="0" applyAlignment="1">
      <alignment horizontal="center"/>
    </xf>
    <xf numFmtId="6" fontId="0" fillId="0" borderId="0" xfId="0" applyNumberFormat="1" applyAlignment="1">
      <alignment horizontal="center"/>
    </xf>
    <xf numFmtId="6" fontId="0" fillId="0" borderId="1" xfId="0" applyNumberFormat="1" applyBorder="1" applyAlignment="1" applyProtection="1">
      <alignment horizontal="center"/>
      <protection locked="0"/>
    </xf>
    <xf numFmtId="0" fontId="0" fillId="0" borderId="0" xfId="0" applyAlignment="1">
      <alignment wrapText="1"/>
    </xf>
    <xf numFmtId="0" fontId="0" fillId="2" borderId="0" xfId="0" applyFill="1"/>
    <xf numFmtId="0" fontId="0" fillId="2" borderId="0" xfId="0" applyFill="1" applyAlignment="1">
      <alignment wrapText="1"/>
    </xf>
    <xf numFmtId="0" fontId="0" fillId="4" borderId="1" xfId="0" applyFill="1" applyBorder="1"/>
    <xf numFmtId="6" fontId="0" fillId="4" borderId="1" xfId="0" applyNumberFormat="1" applyFill="1" applyBorder="1"/>
    <xf numFmtId="6" fontId="0" fillId="3" borderId="1" xfId="0" applyNumberFormat="1" applyFill="1" applyBorder="1" applyProtection="1">
      <protection locked="0"/>
    </xf>
    <xf numFmtId="0" fontId="0" fillId="4" borderId="1" xfId="0" applyFill="1" applyBorder="1" applyAlignment="1">
      <alignment wrapText="1"/>
    </xf>
    <xf numFmtId="14" fontId="0" fillId="3" borderId="1" xfId="0" applyNumberFormat="1" applyFill="1" applyBorder="1" applyAlignment="1" applyProtection="1">
      <alignment horizontal="center"/>
      <protection locked="0"/>
    </xf>
    <xf numFmtId="0" fontId="0" fillId="3" borderId="1" xfId="0" applyFill="1" applyBorder="1" applyAlignment="1" applyProtection="1">
      <alignment horizontal="center"/>
      <protection locked="0"/>
    </xf>
    <xf numFmtId="6" fontId="0" fillId="3" borderId="1" xfId="0" applyNumberFormat="1" applyFill="1" applyBorder="1" applyAlignment="1" applyProtection="1">
      <alignment horizontal="center"/>
      <protection locked="0"/>
    </xf>
    <xf numFmtId="14" fontId="0" fillId="0" borderId="1" xfId="0" applyNumberFormat="1" applyBorder="1" applyAlignment="1">
      <alignment horizontal="center"/>
    </xf>
    <xf numFmtId="0" fontId="0" fillId="0" borderId="1" xfId="0" applyBorder="1" applyAlignment="1">
      <alignment horizontal="center"/>
    </xf>
    <xf numFmtId="6" fontId="0" fillId="0" borderId="1" xfId="0" applyNumberFormat="1" applyBorder="1" applyAlignment="1">
      <alignment horizontal="center"/>
    </xf>
    <xf numFmtId="6" fontId="0" fillId="2" borderId="0" xfId="0" applyNumberFormat="1" applyFill="1"/>
    <xf numFmtId="0" fontId="2" fillId="2" borderId="0" xfId="0" applyFont="1" applyFill="1"/>
    <xf numFmtId="0" fontId="0" fillId="5" borderId="2" xfId="0" applyFill="1" applyBorder="1" applyAlignment="1">
      <alignment wrapText="1"/>
    </xf>
    <xf numFmtId="0" fontId="0" fillId="5" borderId="3" xfId="0" applyFill="1" applyBorder="1" applyAlignment="1">
      <alignment wrapText="1"/>
    </xf>
    <xf numFmtId="0" fontId="0" fillId="5" borderId="4" xfId="0" applyFill="1" applyBorder="1" applyAlignment="1">
      <alignment wrapText="1"/>
    </xf>
    <xf numFmtId="0" fontId="0" fillId="4" borderId="0" xfId="0" applyFill="1"/>
    <xf numFmtId="0" fontId="0" fillId="3" borderId="0" xfId="0" applyFill="1" applyProtection="1">
      <protection locked="0"/>
    </xf>
    <xf numFmtId="6" fontId="0" fillId="3" borderId="0" xfId="0" applyNumberFormat="1" applyFill="1" applyProtection="1">
      <protection locked="0"/>
    </xf>
    <xf numFmtId="6" fontId="2" fillId="3" borderId="0" xfId="0" applyNumberFormat="1" applyFont="1" applyFill="1" applyProtection="1">
      <protection locked="0"/>
    </xf>
    <xf numFmtId="0" fontId="0" fillId="6" borderId="2" xfId="0" applyFill="1" applyBorder="1"/>
    <xf numFmtId="0" fontId="0" fillId="6" borderId="1" xfId="0" applyFill="1" applyBorder="1"/>
    <xf numFmtId="6" fontId="0" fillId="6" borderId="1" xfId="0" applyNumberFormat="1" applyFill="1" applyBorder="1"/>
    <xf numFmtId="6" fontId="2" fillId="6" borderId="1" xfId="0" applyNumberFormat="1" applyFont="1" applyFill="1" applyBorder="1"/>
    <xf numFmtId="0" fontId="0" fillId="7" borderId="0" xfId="0" applyFill="1"/>
    <xf numFmtId="14" fontId="0" fillId="3" borderId="1" xfId="0" applyNumberFormat="1" applyFill="1" applyBorder="1" applyAlignment="1" applyProtection="1">
      <alignment horizontal="center" wrapText="1"/>
      <protection locked="0"/>
    </xf>
    <xf numFmtId="0" fontId="0" fillId="2" borderId="1" xfId="0" applyFill="1" applyBorder="1" applyAlignment="1">
      <alignment horizontal="center" wrapText="1"/>
    </xf>
    <xf numFmtId="1" fontId="0" fillId="2" borderId="1" xfId="0" applyNumberFormat="1" applyFill="1" applyBorder="1" applyAlignment="1">
      <alignment horizontal="center" wrapText="1"/>
    </xf>
    <xf numFmtId="0" fontId="5" fillId="0" borderId="0" xfId="0" applyFont="1" applyAlignment="1">
      <alignment vertical="center"/>
    </xf>
    <xf numFmtId="0" fontId="6" fillId="0" borderId="0" xfId="0" applyFont="1" applyAlignment="1">
      <alignment vertical="center"/>
    </xf>
    <xf numFmtId="0" fontId="9" fillId="3" borderId="2" xfId="0" applyFont="1" applyFill="1" applyBorder="1" applyAlignment="1" applyProtection="1">
      <alignment horizontal="center"/>
      <protection locked="0"/>
    </xf>
    <xf numFmtId="0" fontId="9" fillId="3" borderId="3" xfId="0" applyFont="1" applyFill="1" applyBorder="1" applyAlignment="1" applyProtection="1">
      <alignment horizontal="center"/>
      <protection locked="0"/>
    </xf>
    <xf numFmtId="0" fontId="9" fillId="3" borderId="4" xfId="0" applyFont="1" applyFill="1" applyBorder="1" applyAlignment="1" applyProtection="1">
      <alignment horizontal="center"/>
      <protection locked="0"/>
    </xf>
    <xf numFmtId="0" fontId="0" fillId="8" borderId="0" xfId="0" applyFill="1"/>
    <xf numFmtId="0" fontId="6" fillId="8" borderId="11" xfId="0" applyFont="1" applyFill="1" applyBorder="1" applyAlignment="1">
      <alignment horizontal="left" vertical="center" wrapText="1" indent="1"/>
    </xf>
    <xf numFmtId="0" fontId="5" fillId="8" borderId="11" xfId="0" applyFont="1" applyFill="1" applyBorder="1" applyAlignment="1">
      <alignment horizontal="left" vertical="center" wrapText="1" indent="1"/>
    </xf>
    <xf numFmtId="0" fontId="13" fillId="2" borderId="0" xfId="0" applyFont="1" applyFill="1"/>
    <xf numFmtId="0" fontId="0" fillId="2" borderId="1" xfId="0" applyFill="1" applyBorder="1"/>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3" fillId="2" borderId="16" xfId="0" applyFont="1" applyFill="1" applyBorder="1" applyAlignment="1">
      <alignment horizontal="center" vertical="center"/>
    </xf>
    <xf numFmtId="1" fontId="15" fillId="2" borderId="16" xfId="0" applyNumberFormat="1" applyFont="1" applyFill="1" applyBorder="1" applyAlignment="1" applyProtection="1">
      <alignment horizontal="center" vertical="center" wrapText="1"/>
      <protection locked="0"/>
    </xf>
    <xf numFmtId="14" fontId="0" fillId="2" borderId="0" xfId="0" applyNumberFormat="1" applyFill="1"/>
    <xf numFmtId="14" fontId="13" fillId="2" borderId="0" xfId="0" applyNumberFormat="1" applyFont="1" applyFill="1"/>
    <xf numFmtId="14" fontId="15" fillId="2" borderId="1" xfId="0" applyNumberFormat="1" applyFont="1" applyFill="1" applyBorder="1" applyAlignment="1" applyProtection="1">
      <alignment horizontal="left" vertical="center" wrapText="1" indent="1"/>
      <protection locked="0"/>
    </xf>
    <xf numFmtId="1" fontId="15" fillId="2" borderId="1" xfId="0" applyNumberFormat="1" applyFont="1" applyFill="1" applyBorder="1" applyAlignment="1" applyProtection="1">
      <alignment horizontal="center" vertical="center" wrapText="1"/>
      <protection locked="0"/>
    </xf>
    <xf numFmtId="0" fontId="3" fillId="0" borderId="0" xfId="0" applyFont="1"/>
    <xf numFmtId="3" fontId="18" fillId="10" borderId="12" xfId="2" applyNumberFormat="1" applyFont="1" applyFill="1" applyAlignment="1" applyProtection="1">
      <alignment horizontal="center"/>
      <protection locked="0"/>
    </xf>
    <xf numFmtId="0" fontId="0" fillId="2" borderId="0" xfId="0" applyFill="1" applyAlignment="1">
      <alignment horizontal="center"/>
    </xf>
    <xf numFmtId="8" fontId="0" fillId="2" borderId="0" xfId="0" applyNumberFormat="1" applyFill="1"/>
    <xf numFmtId="0" fontId="15" fillId="0" borderId="1" xfId="0" applyFont="1" applyBorder="1" applyAlignment="1">
      <alignment horizontal="left" vertical="center" wrapText="1" indent="1"/>
    </xf>
    <xf numFmtId="0" fontId="0" fillId="0" borderId="9" xfId="0" applyBorder="1"/>
    <xf numFmtId="0" fontId="0" fillId="2" borderId="9" xfId="0" applyFill="1" applyBorder="1"/>
    <xf numFmtId="8" fontId="15" fillId="2" borderId="1" xfId="0" applyNumberFormat="1" applyFont="1" applyFill="1" applyBorder="1" applyAlignment="1" applyProtection="1">
      <alignment horizontal="left" vertical="center" wrapText="1" indent="1"/>
      <protection locked="0"/>
    </xf>
    <xf numFmtId="164" fontId="15" fillId="2" borderId="1" xfId="0" applyNumberFormat="1" applyFont="1" applyFill="1" applyBorder="1" applyAlignment="1" applyProtection="1">
      <alignment horizontal="left" vertical="center" wrapText="1" indent="1"/>
      <protection locked="0"/>
    </xf>
    <xf numFmtId="6" fontId="15" fillId="0" borderId="1" xfId="0" applyNumberFormat="1" applyFont="1" applyBorder="1" applyAlignment="1">
      <alignment horizontal="left" vertical="center" wrapText="1" indent="1"/>
    </xf>
    <xf numFmtId="0" fontId="20" fillId="0" borderId="20" xfId="0" applyFont="1" applyBorder="1" applyAlignment="1">
      <alignment wrapText="1"/>
    </xf>
    <xf numFmtId="0" fontId="20" fillId="0" borderId="20" xfId="0" applyFont="1" applyBorder="1" applyAlignment="1">
      <alignment vertical="center"/>
    </xf>
    <xf numFmtId="0" fontId="3" fillId="2" borderId="0" xfId="0" applyFont="1" applyFill="1"/>
    <xf numFmtId="0" fontId="3" fillId="11" borderId="21" xfId="0" applyFont="1" applyFill="1" applyBorder="1"/>
    <xf numFmtId="0" fontId="0" fillId="2" borderId="21" xfId="0" applyFill="1" applyBorder="1"/>
    <xf numFmtId="165" fontId="0" fillId="0" borderId="21" xfId="0" applyNumberFormat="1" applyBorder="1"/>
    <xf numFmtId="0" fontId="0" fillId="11" borderId="21" xfId="0" applyFill="1" applyBorder="1"/>
    <xf numFmtId="6" fontId="20" fillId="0" borderId="20" xfId="0" applyNumberFormat="1" applyFont="1" applyBorder="1" applyAlignment="1">
      <alignment horizontal="right" wrapText="1"/>
    </xf>
    <xf numFmtId="9" fontId="0" fillId="0" borderId="21" xfId="0" applyNumberFormat="1" applyBorder="1"/>
    <xf numFmtId="165" fontId="0" fillId="0" borderId="21" xfId="0" applyNumberFormat="1" applyBorder="1" applyAlignment="1">
      <alignment horizontal="right"/>
    </xf>
    <xf numFmtId="0" fontId="21" fillId="2" borderId="0" xfId="0" applyFont="1" applyFill="1"/>
    <xf numFmtId="166" fontId="0" fillId="0" borderId="21" xfId="1" applyNumberFormat="1" applyFont="1" applyBorder="1"/>
    <xf numFmtId="0" fontId="23" fillId="2" borderId="0" xfId="3" applyFont="1" applyFill="1"/>
    <xf numFmtId="167" fontId="0" fillId="2" borderId="0" xfId="0" applyNumberFormat="1" applyFill="1"/>
    <xf numFmtId="8" fontId="21" fillId="2" borderId="0" xfId="0" applyNumberFormat="1" applyFont="1" applyFill="1"/>
    <xf numFmtId="8" fontId="15" fillId="2" borderId="22" xfId="0" applyNumberFormat="1" applyFont="1" applyFill="1" applyBorder="1" applyAlignment="1" applyProtection="1">
      <alignment horizontal="left" vertical="center" wrapText="1" indent="1"/>
      <protection locked="0"/>
    </xf>
    <xf numFmtId="0" fontId="22" fillId="0" borderId="0" xfId="3" applyFill="1" applyBorder="1"/>
    <xf numFmtId="0" fontId="2" fillId="0" borderId="0" xfId="0" applyFont="1"/>
    <xf numFmtId="4" fontId="13" fillId="2" borderId="0" xfId="0" applyNumberFormat="1" applyFont="1" applyFill="1"/>
    <xf numFmtId="10" fontId="3" fillId="2" borderId="0" xfId="0" applyNumberFormat="1" applyFont="1" applyFill="1"/>
    <xf numFmtId="164" fontId="0" fillId="2" borderId="0" xfId="0" applyNumberFormat="1" applyFill="1"/>
    <xf numFmtId="8" fontId="2" fillId="0" borderId="0" xfId="0" applyNumberFormat="1" applyFont="1"/>
    <xf numFmtId="164" fontId="2" fillId="2" borderId="0" xfId="0" applyNumberFormat="1" applyFont="1" applyFill="1"/>
    <xf numFmtId="0" fontId="22" fillId="0" borderId="0" xfId="3"/>
    <xf numFmtId="8" fontId="0" fillId="2" borderId="0" xfId="0" applyNumberFormat="1" applyFill="1" applyAlignment="1">
      <alignment wrapText="1"/>
    </xf>
    <xf numFmtId="164" fontId="2" fillId="0" borderId="0" xfId="0" applyNumberFormat="1" applyFont="1"/>
    <xf numFmtId="8" fontId="3" fillId="2" borderId="0" xfId="0" applyNumberFormat="1" applyFont="1" applyFill="1"/>
    <xf numFmtId="8" fontId="15" fillId="2" borderId="23" xfId="0" applyNumberFormat="1" applyFont="1" applyFill="1" applyBorder="1" applyAlignment="1" applyProtection="1">
      <alignment horizontal="left" vertical="center" wrapText="1" indent="1"/>
      <protection locked="0"/>
    </xf>
    <xf numFmtId="164" fontId="15" fillId="2" borderId="23" xfId="0" applyNumberFormat="1" applyFont="1" applyFill="1" applyBorder="1" applyAlignment="1">
      <alignment horizontal="left" vertical="center" wrapText="1" indent="1"/>
    </xf>
    <xf numFmtId="165" fontId="0" fillId="2" borderId="1" xfId="0" applyNumberFormat="1" applyFill="1" applyBorder="1"/>
    <xf numFmtId="165" fontId="0" fillId="2" borderId="4" xfId="0" applyNumberFormat="1" applyFill="1" applyBorder="1"/>
    <xf numFmtId="6" fontId="15" fillId="6" borderId="22" xfId="0" applyNumberFormat="1" applyFont="1" applyFill="1" applyBorder="1" applyAlignment="1">
      <alignment horizontal="left" vertical="center" wrapText="1" indent="1"/>
    </xf>
    <xf numFmtId="6" fontId="15" fillId="6" borderId="0" xfId="0" applyNumberFormat="1" applyFont="1" applyFill="1" applyAlignment="1">
      <alignment horizontal="left" vertical="center" wrapText="1" indent="1"/>
    </xf>
    <xf numFmtId="6" fontId="24" fillId="2" borderId="1" xfId="0" applyNumberFormat="1" applyFont="1" applyFill="1" applyBorder="1" applyAlignment="1">
      <alignment horizontal="left" vertical="center" wrapText="1" indent="1"/>
    </xf>
    <xf numFmtId="0" fontId="15" fillId="0" borderId="0" xfId="0" applyFont="1" applyAlignment="1">
      <alignment horizontal="left" vertical="center" wrapText="1" indent="1"/>
    </xf>
    <xf numFmtId="0" fontId="15" fillId="0" borderId="6" xfId="0" applyFont="1" applyBorder="1" applyAlignment="1">
      <alignment horizontal="left" vertical="center" wrapText="1" indent="1"/>
    </xf>
    <xf numFmtId="6" fontId="13" fillId="2" borderId="0" xfId="0" applyNumberFormat="1" applyFont="1" applyFill="1"/>
    <xf numFmtId="0" fontId="15" fillId="2" borderId="1" xfId="0" applyFont="1" applyFill="1" applyBorder="1" applyAlignment="1">
      <alignment horizontal="center" vertical="center" wrapText="1"/>
    </xf>
    <xf numFmtId="6" fontId="24" fillId="6" borderId="1" xfId="0" applyNumberFormat="1" applyFont="1" applyFill="1" applyBorder="1" applyAlignment="1">
      <alignment horizontal="left" vertical="center" wrapText="1" indent="1"/>
    </xf>
    <xf numFmtId="0" fontId="2" fillId="2" borderId="0" xfId="0" applyFont="1" applyFill="1" applyAlignment="1">
      <alignment horizontal="left"/>
    </xf>
    <xf numFmtId="168" fontId="24" fillId="2" borderId="1" xfId="0" applyNumberFormat="1" applyFont="1" applyFill="1" applyBorder="1" applyAlignment="1">
      <alignment horizontal="left" vertical="center" wrapText="1" indent="1"/>
    </xf>
    <xf numFmtId="6" fontId="24" fillId="6" borderId="0" xfId="0" applyNumberFormat="1" applyFont="1" applyFill="1" applyAlignment="1">
      <alignment horizontal="left" vertical="center" wrapText="1" indent="1"/>
    </xf>
    <xf numFmtId="6" fontId="24" fillId="2" borderId="0" xfId="0" applyNumberFormat="1" applyFont="1" applyFill="1" applyAlignment="1">
      <alignment horizontal="left" vertical="center" wrapText="1" indent="1"/>
    </xf>
    <xf numFmtId="8" fontId="13" fillId="0" borderId="0" xfId="0" applyNumberFormat="1" applyFont="1"/>
    <xf numFmtId="6" fontId="15" fillId="0" borderId="0" xfId="0" applyNumberFormat="1" applyFont="1" applyAlignment="1">
      <alignment horizontal="left" vertical="center" wrapText="1" indent="1"/>
    </xf>
    <xf numFmtId="0" fontId="25" fillId="2" borderId="0" xfId="0" applyFont="1" applyFill="1"/>
    <xf numFmtId="6" fontId="15" fillId="2" borderId="1" xfId="0" applyNumberFormat="1" applyFont="1" applyFill="1" applyBorder="1" applyAlignment="1">
      <alignment horizontal="left" vertical="center" wrapText="1" indent="1"/>
    </xf>
    <xf numFmtId="6" fontId="15" fillId="12" borderId="1" xfId="0" applyNumberFormat="1" applyFont="1" applyFill="1" applyBorder="1" applyAlignment="1">
      <alignment horizontal="left" vertical="center" wrapText="1" indent="1"/>
    </xf>
    <xf numFmtId="6" fontId="26" fillId="2" borderId="1" xfId="0" applyNumberFormat="1" applyFont="1" applyFill="1" applyBorder="1" applyAlignment="1">
      <alignment horizontal="left" vertical="center" wrapText="1" indent="1"/>
    </xf>
    <xf numFmtId="8" fontId="2" fillId="2" borderId="0" xfId="0" applyNumberFormat="1" applyFont="1" applyFill="1"/>
    <xf numFmtId="6" fontId="26" fillId="0" borderId="0" xfId="0" applyNumberFormat="1" applyFont="1" applyAlignment="1">
      <alignment horizontal="left" vertical="center" wrapText="1" indent="1"/>
    </xf>
    <xf numFmtId="0" fontId="0" fillId="6" borderId="0" xfId="0" applyFill="1"/>
    <xf numFmtId="8" fontId="13" fillId="0" borderId="4" xfId="0" applyNumberFormat="1" applyFont="1" applyBorder="1" applyAlignment="1">
      <alignment horizontal="left" vertical="center" wrapText="1" indent="1"/>
    </xf>
    <xf numFmtId="6" fontId="15" fillId="13" borderId="1" xfId="0" applyNumberFormat="1" applyFont="1" applyFill="1" applyBorder="1" applyAlignment="1">
      <alignment horizontal="left" vertical="center" wrapText="1" indent="1"/>
    </xf>
    <xf numFmtId="8" fontId="13" fillId="0" borderId="3" xfId="0" applyNumberFormat="1" applyFont="1" applyBorder="1" applyAlignment="1">
      <alignment horizontal="left" vertical="center" wrapText="1" indent="1"/>
    </xf>
    <xf numFmtId="169" fontId="13" fillId="0" borderId="4" xfId="0" applyNumberFormat="1" applyFont="1" applyBorder="1" applyAlignment="1">
      <alignment horizontal="left" vertical="center" wrapText="1" indent="1"/>
    </xf>
    <xf numFmtId="0" fontId="27" fillId="0" borderId="0" xfId="0" applyFont="1" applyAlignment="1">
      <alignment horizontal="left" vertical="center" wrapText="1" indent="1"/>
    </xf>
    <xf numFmtId="170" fontId="13" fillId="0" borderId="0" xfId="0" applyNumberFormat="1" applyFont="1" applyAlignment="1">
      <alignment horizontal="left" vertical="center" wrapText="1" indent="1"/>
    </xf>
    <xf numFmtId="6" fontId="26" fillId="2" borderId="0" xfId="0" applyNumberFormat="1" applyFont="1" applyFill="1" applyAlignment="1">
      <alignment horizontal="left" vertical="center" wrapText="1" indent="1"/>
    </xf>
    <xf numFmtId="6" fontId="15" fillId="2" borderId="0" xfId="0" applyNumberFormat="1" applyFont="1" applyFill="1" applyAlignment="1">
      <alignment horizontal="left" vertical="center" wrapText="1" indent="1"/>
    </xf>
    <xf numFmtId="0" fontId="26" fillId="0" borderId="0" xfId="0" applyFont="1" applyAlignment="1">
      <alignment horizontal="left" vertical="center" wrapText="1" indent="1"/>
    </xf>
    <xf numFmtId="171" fontId="13" fillId="0" borderId="9" xfId="0" applyNumberFormat="1" applyFont="1" applyBorder="1" applyAlignment="1">
      <alignment horizontal="left" vertical="center" wrapText="1" indent="1"/>
    </xf>
    <xf numFmtId="164" fontId="13" fillId="0" borderId="9" xfId="0" applyNumberFormat="1" applyFont="1" applyBorder="1" applyAlignment="1">
      <alignment horizontal="left" vertical="center" wrapText="1" indent="1"/>
    </xf>
    <xf numFmtId="164" fontId="13" fillId="2" borderId="4" xfId="0" applyNumberFormat="1" applyFont="1" applyFill="1" applyBorder="1" applyAlignment="1" applyProtection="1">
      <alignment horizontal="left" vertical="center" wrapText="1" indent="1"/>
      <protection locked="0"/>
    </xf>
    <xf numFmtId="0" fontId="26" fillId="2" borderId="0" xfId="0" applyFont="1" applyFill="1" applyAlignment="1">
      <alignment horizontal="center" vertical="center" wrapText="1"/>
    </xf>
    <xf numFmtId="0" fontId="15" fillId="2" borderId="0" xfId="0" applyFont="1" applyFill="1" applyAlignment="1">
      <alignment horizontal="right" vertical="center" wrapText="1" indent="1"/>
    </xf>
    <xf numFmtId="164" fontId="13" fillId="0" borderId="3" xfId="0" applyNumberFormat="1" applyFont="1" applyBorder="1" applyAlignment="1">
      <alignment horizontal="left" vertical="center" wrapText="1" indent="1"/>
    </xf>
    <xf numFmtId="0" fontId="0" fillId="0" borderId="0" xfId="0" applyAlignment="1">
      <alignment vertical="center"/>
    </xf>
    <xf numFmtId="0" fontId="0" fillId="2" borderId="0" xfId="0" applyFill="1" applyAlignment="1">
      <alignment horizontal="right" vertical="center"/>
    </xf>
    <xf numFmtId="6" fontId="19" fillId="2" borderId="1" xfId="0" applyNumberFormat="1" applyFont="1" applyFill="1" applyBorder="1" applyAlignment="1">
      <alignment horizontal="left" vertical="center" wrapText="1" indent="1"/>
    </xf>
    <xf numFmtId="6" fontId="19" fillId="6" borderId="1" xfId="0" applyNumberFormat="1" applyFont="1" applyFill="1" applyBorder="1" applyAlignment="1">
      <alignment horizontal="left" vertical="center" wrapText="1" indent="1"/>
    </xf>
    <xf numFmtId="0" fontId="0" fillId="0" borderId="0" xfId="0" applyAlignment="1">
      <alignment horizontal="right" vertical="center"/>
    </xf>
    <xf numFmtId="6" fontId="15" fillId="2" borderId="1" xfId="0" applyNumberFormat="1" applyFont="1" applyFill="1" applyBorder="1" applyAlignment="1" applyProtection="1">
      <alignment horizontal="left" vertical="center" wrapText="1" indent="1"/>
      <protection locked="0"/>
    </xf>
    <xf numFmtId="6" fontId="15" fillId="14" borderId="1" xfId="0" applyNumberFormat="1" applyFont="1" applyFill="1" applyBorder="1" applyAlignment="1" applyProtection="1">
      <alignment horizontal="left" vertical="center" wrapText="1" indent="1"/>
      <protection locked="0"/>
    </xf>
    <xf numFmtId="0" fontId="28" fillId="2" borderId="0" xfId="0" applyFont="1" applyFill="1"/>
    <xf numFmtId="6" fontId="13" fillId="2" borderId="26" xfId="0" applyNumberFormat="1" applyFont="1" applyFill="1" applyBorder="1" applyAlignment="1">
      <alignment horizontal="left" vertical="center" wrapText="1" indent="1"/>
    </xf>
    <xf numFmtId="6" fontId="15" fillId="2" borderId="25" xfId="0" applyNumberFormat="1" applyFont="1" applyFill="1" applyBorder="1" applyAlignment="1">
      <alignment horizontal="left" vertical="center" wrapText="1" indent="1"/>
    </xf>
    <xf numFmtId="6" fontId="15" fillId="6" borderId="25" xfId="0" applyNumberFormat="1" applyFont="1" applyFill="1" applyBorder="1" applyAlignment="1">
      <alignment horizontal="left" vertical="center" wrapText="1" indent="1"/>
    </xf>
    <xf numFmtId="6" fontId="27" fillId="2" borderId="25" xfId="0" applyNumberFormat="1" applyFont="1" applyFill="1" applyBorder="1" applyAlignment="1">
      <alignment horizontal="left" vertical="center" wrapText="1" indent="1"/>
    </xf>
    <xf numFmtId="6" fontId="27" fillId="13" borderId="25" xfId="0" applyNumberFormat="1" applyFont="1" applyFill="1" applyBorder="1" applyAlignment="1">
      <alignment horizontal="left" vertical="center" wrapText="1" indent="1"/>
    </xf>
    <xf numFmtId="166" fontId="3" fillId="6" borderId="1" xfId="0" applyNumberFormat="1" applyFont="1" applyFill="1" applyBorder="1" applyAlignment="1">
      <alignment horizontal="center"/>
    </xf>
    <xf numFmtId="166" fontId="13" fillId="2" borderId="0" xfId="0" applyNumberFormat="1" applyFont="1" applyFill="1"/>
    <xf numFmtId="0" fontId="29" fillId="2" borderId="0" xfId="0" applyFont="1" applyFill="1"/>
    <xf numFmtId="0" fontId="15" fillId="0" borderId="2" xfId="0" applyFont="1" applyBorder="1" applyAlignment="1">
      <alignment horizontal="left" vertical="center" wrapText="1" indent="1"/>
    </xf>
    <xf numFmtId="0" fontId="0" fillId="0" borderId="3" xfId="0" applyBorder="1" applyAlignment="1">
      <alignment horizontal="left" vertical="center" wrapText="1" indent="1"/>
    </xf>
    <xf numFmtId="0" fontId="0" fillId="0" borderId="4" xfId="0" applyBorder="1" applyAlignment="1">
      <alignment horizontal="left" vertical="center" wrapText="1" indent="1"/>
    </xf>
    <xf numFmtId="0" fontId="15" fillId="2" borderId="24" xfId="0" applyFont="1" applyFill="1" applyBorder="1" applyAlignment="1">
      <alignment horizontal="left" vertical="center" wrapText="1" indent="1"/>
    </xf>
    <xf numFmtId="0" fontId="0" fillId="2" borderId="27" xfId="0" applyFill="1" applyBorder="1" applyAlignment="1">
      <alignment horizontal="left" vertical="center" wrapText="1" indent="1"/>
    </xf>
    <xf numFmtId="0" fontId="27" fillId="2" borderId="24" xfId="0" applyFont="1" applyFill="1" applyBorder="1" applyAlignment="1">
      <alignment horizontal="left" vertical="center" wrapText="1" indent="1"/>
    </xf>
    <xf numFmtId="0" fontId="2" fillId="2" borderId="27" xfId="0" applyFont="1" applyFill="1" applyBorder="1" applyAlignment="1">
      <alignment horizontal="left" vertical="center" wrapText="1" indent="1"/>
    </xf>
    <xf numFmtId="0" fontId="2" fillId="2" borderId="26" xfId="0" applyFont="1" applyFill="1" applyBorder="1" applyAlignment="1">
      <alignment horizontal="left" vertical="center" wrapText="1" indent="1"/>
    </xf>
    <xf numFmtId="0" fontId="0" fillId="2" borderId="2" xfId="0" applyFill="1" applyBorder="1" applyAlignment="1">
      <alignment horizontal="center" wrapText="1"/>
    </xf>
    <xf numFmtId="0" fontId="0" fillId="2" borderId="4" xfId="0" applyFill="1" applyBorder="1" applyAlignment="1">
      <alignment horizontal="center" wrapText="1"/>
    </xf>
    <xf numFmtId="0" fontId="19"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8" fillId="6" borderId="2" xfId="0" applyFont="1" applyFill="1" applyBorder="1" applyAlignment="1">
      <alignment horizontal="center" wrapText="1"/>
    </xf>
    <xf numFmtId="0" fontId="8" fillId="6" borderId="4" xfId="0" applyFont="1" applyFill="1" applyBorder="1" applyAlignment="1">
      <alignment horizontal="center" wrapText="1"/>
    </xf>
    <xf numFmtId="8" fontId="3" fillId="6" borderId="2" xfId="0" applyNumberFormat="1" applyFont="1" applyFill="1" applyBorder="1" applyAlignment="1">
      <alignment horizontal="center" wrapText="1"/>
    </xf>
    <xf numFmtId="8" fontId="3" fillId="6" borderId="4" xfId="0" applyNumberFormat="1" applyFont="1" applyFill="1" applyBorder="1" applyAlignment="1">
      <alignment horizontal="center" wrapText="1"/>
    </xf>
    <xf numFmtId="0" fontId="0" fillId="2" borderId="2" xfId="0" applyFill="1" applyBorder="1" applyAlignment="1">
      <alignment wrapText="1"/>
    </xf>
    <xf numFmtId="0" fontId="0" fillId="2" borderId="4" xfId="0" applyFill="1" applyBorder="1" applyAlignment="1">
      <alignment wrapText="1"/>
    </xf>
    <xf numFmtId="164" fontId="0" fillId="2" borderId="2" xfId="0" applyNumberFormat="1" applyFill="1" applyBorder="1" applyAlignment="1">
      <alignment horizontal="center" wrapText="1"/>
    </xf>
    <xf numFmtId="164" fontId="0" fillId="2" borderId="4" xfId="0" applyNumberFormat="1" applyFill="1" applyBorder="1" applyAlignment="1">
      <alignment horizontal="center" wrapText="1"/>
    </xf>
    <xf numFmtId="0" fontId="3" fillId="2" borderId="17" xfId="0" applyFont="1" applyFill="1" applyBorder="1" applyAlignment="1">
      <alignment horizontal="center" vertical="center" wrapText="1"/>
    </xf>
    <xf numFmtId="0" fontId="0" fillId="2" borderId="18" xfId="0" applyFill="1" applyBorder="1" applyAlignment="1">
      <alignment horizontal="center" vertical="center" wrapText="1"/>
    </xf>
    <xf numFmtId="0" fontId="3" fillId="2" borderId="9" xfId="0" applyFont="1" applyFill="1" applyBorder="1" applyAlignment="1">
      <alignment horizontal="center" vertical="center" wrapText="1"/>
    </xf>
    <xf numFmtId="0" fontId="0" fillId="2" borderId="19" xfId="0" applyFill="1" applyBorder="1" applyAlignment="1">
      <alignment horizontal="center" vertical="center" wrapText="1"/>
    </xf>
    <xf numFmtId="0" fontId="0" fillId="3" borderId="2" xfId="0" applyFill="1" applyBorder="1" applyAlignment="1" applyProtection="1">
      <alignment wrapText="1"/>
      <protection locked="0"/>
    </xf>
    <xf numFmtId="0" fontId="0" fillId="3" borderId="3" xfId="0" applyFill="1" applyBorder="1" applyAlignment="1">
      <alignment wrapText="1"/>
    </xf>
    <xf numFmtId="0" fontId="0" fillId="3" borderId="4" xfId="0" applyFill="1" applyBorder="1" applyAlignment="1">
      <alignment wrapText="1"/>
    </xf>
    <xf numFmtId="0" fontId="8" fillId="2" borderId="0" xfId="0" applyFont="1" applyFill="1" applyAlignment="1">
      <alignment horizontal="left" wrapText="1"/>
    </xf>
    <xf numFmtId="0" fontId="0" fillId="0" borderId="0" xfId="0" applyAlignment="1">
      <alignment horizontal="left" wrapText="1"/>
    </xf>
    <xf numFmtId="0" fontId="4" fillId="6" borderId="5" xfId="0" applyFont="1" applyFill="1" applyBorder="1" applyAlignment="1">
      <alignment horizontal="center" vertical="justify" wrapText="1"/>
    </xf>
    <xf numFmtId="0" fontId="4" fillId="6" borderId="6" xfId="0" applyFont="1" applyFill="1" applyBorder="1" applyAlignment="1">
      <alignment horizontal="center" vertical="justify" wrapText="1"/>
    </xf>
    <xf numFmtId="0" fontId="4" fillId="6" borderId="7" xfId="0" applyFont="1" applyFill="1" applyBorder="1" applyAlignment="1">
      <alignment horizontal="center" vertical="justify" wrapText="1"/>
    </xf>
    <xf numFmtId="0" fontId="4" fillId="6" borderId="8" xfId="0" applyFont="1" applyFill="1" applyBorder="1" applyAlignment="1">
      <alignment horizontal="center" vertical="justify" wrapText="1"/>
    </xf>
    <xf numFmtId="0" fontId="4" fillId="6" borderId="9" xfId="0" applyFont="1" applyFill="1" applyBorder="1" applyAlignment="1">
      <alignment horizontal="center" vertical="justify" wrapText="1"/>
    </xf>
    <xf numFmtId="0" fontId="4" fillId="6" borderId="10" xfId="0" applyFont="1" applyFill="1" applyBorder="1" applyAlignment="1">
      <alignment horizontal="center" vertical="justify" wrapText="1"/>
    </xf>
    <xf numFmtId="0" fontId="5" fillId="0" borderId="0" xfId="0" applyFont="1" applyAlignment="1">
      <alignment vertical="center" wrapText="1"/>
    </xf>
    <xf numFmtId="0" fontId="0" fillId="0" borderId="0" xfId="0" applyAlignment="1">
      <alignment wrapText="1"/>
    </xf>
    <xf numFmtId="0" fontId="6" fillId="0" borderId="0" xfId="0" applyFont="1" applyAlignment="1">
      <alignment vertical="center" wrapText="1"/>
    </xf>
    <xf numFmtId="0" fontId="0" fillId="0" borderId="2" xfId="0" applyBorder="1" applyAlignment="1">
      <alignment wrapText="1"/>
    </xf>
    <xf numFmtId="0" fontId="0" fillId="0" borderId="4" xfId="0" applyBorder="1" applyAlignment="1">
      <alignment wrapText="1"/>
    </xf>
    <xf numFmtId="0" fontId="0" fillId="0" borderId="4" xfId="0" applyBorder="1" applyAlignment="1">
      <alignment horizontal="center" wrapText="1"/>
    </xf>
    <xf numFmtId="14" fontId="0" fillId="3" borderId="2" xfId="0" applyNumberFormat="1" applyFill="1" applyBorder="1" applyAlignment="1" applyProtection="1">
      <alignment horizontal="center" wrapText="1"/>
      <protection locked="0"/>
    </xf>
    <xf numFmtId="14" fontId="0" fillId="3" borderId="4" xfId="0" applyNumberFormat="1" applyFill="1" applyBorder="1" applyAlignment="1" applyProtection="1">
      <alignment horizontal="center" wrapText="1"/>
      <protection locked="0"/>
    </xf>
    <xf numFmtId="164" fontId="0" fillId="3" borderId="2" xfId="0" applyNumberFormat="1" applyFill="1" applyBorder="1" applyAlignment="1" applyProtection="1">
      <alignment wrapText="1"/>
      <protection locked="0"/>
    </xf>
    <xf numFmtId="0" fontId="0" fillId="3" borderId="4" xfId="0" applyFill="1" applyBorder="1" applyAlignment="1" applyProtection="1">
      <alignment wrapText="1"/>
      <protection locked="0"/>
    </xf>
    <xf numFmtId="0" fontId="10" fillId="6" borderId="2" xfId="0" applyFont="1" applyFill="1" applyBorder="1" applyAlignment="1">
      <alignment horizontal="center" wrapText="1"/>
    </xf>
    <xf numFmtId="0" fontId="10" fillId="6" borderId="3" xfId="0" applyFont="1" applyFill="1" applyBorder="1" applyAlignment="1">
      <alignment horizontal="center" wrapText="1"/>
    </xf>
    <xf numFmtId="0" fontId="10" fillId="6" borderId="4" xfId="0" applyFont="1" applyFill="1" applyBorder="1" applyAlignment="1">
      <alignment horizontal="center" wrapText="1"/>
    </xf>
    <xf numFmtId="164" fontId="3" fillId="6" borderId="2" xfId="0" applyNumberFormat="1" applyFont="1" applyFill="1" applyBorder="1" applyAlignment="1">
      <alignment wrapText="1"/>
    </xf>
    <xf numFmtId="0" fontId="3" fillId="6" borderId="4" xfId="0" applyFont="1" applyFill="1" applyBorder="1" applyAlignment="1">
      <alignment wrapText="1"/>
    </xf>
    <xf numFmtId="0" fontId="2" fillId="0" borderId="0" xfId="0" applyFont="1" applyAlignment="1">
      <alignment horizontal="center" wrapText="1"/>
    </xf>
    <xf numFmtId="9" fontId="13" fillId="0" borderId="0" xfId="0" applyNumberFormat="1" applyFont="1"/>
    <xf numFmtId="0" fontId="14" fillId="14" borderId="13" xfId="0" applyFont="1" applyFill="1" applyBorder="1" applyAlignment="1">
      <alignment horizontal="center" wrapText="1"/>
    </xf>
    <xf numFmtId="0" fontId="14" fillId="14" borderId="14" xfId="0" applyFont="1" applyFill="1" applyBorder="1" applyAlignment="1">
      <alignment horizontal="center" wrapText="1"/>
    </xf>
    <xf numFmtId="0" fontId="0" fillId="14" borderId="14" xfId="0" applyFill="1" applyBorder="1" applyAlignment="1">
      <alignment horizontal="center" wrapText="1"/>
    </xf>
    <xf numFmtId="0" fontId="17" fillId="6" borderId="2" xfId="0" applyFont="1" applyFill="1" applyBorder="1" applyAlignment="1">
      <alignment horizontal="center" wrapText="1"/>
    </xf>
    <xf numFmtId="0" fontId="17" fillId="6" borderId="3" xfId="0" applyFont="1" applyFill="1" applyBorder="1" applyAlignment="1">
      <alignment horizontal="center" wrapText="1"/>
    </xf>
    <xf numFmtId="0" fontId="17" fillId="6" borderId="4" xfId="0" applyFont="1" applyFill="1" applyBorder="1" applyAlignment="1">
      <alignment horizontal="center" wrapText="1"/>
    </xf>
    <xf numFmtId="0" fontId="25" fillId="0" borderId="0" xfId="0" applyFont="1"/>
    <xf numFmtId="0" fontId="3" fillId="2" borderId="28" xfId="0" applyFont="1" applyFill="1" applyBorder="1" applyAlignment="1" applyProtection="1">
      <alignment horizontal="center" vertical="center" wrapText="1"/>
      <protection locked="0"/>
    </xf>
    <xf numFmtId="0" fontId="0" fillId="0" borderId="29" xfId="0" applyBorder="1" applyAlignment="1" applyProtection="1">
      <alignment vertical="center" wrapText="1"/>
      <protection locked="0"/>
    </xf>
    <xf numFmtId="0" fontId="16" fillId="0" borderId="30" xfId="0" applyFont="1" applyBorder="1" applyAlignment="1">
      <alignment horizontal="center" wrapText="1"/>
    </xf>
    <xf numFmtId="0" fontId="16" fillId="0" borderId="0" xfId="0" applyFont="1" applyAlignment="1">
      <alignment horizontal="center" wrapText="1"/>
    </xf>
    <xf numFmtId="0" fontId="16" fillId="15" borderId="3" xfId="0" applyFont="1" applyFill="1" applyBorder="1" applyAlignment="1">
      <alignment horizontal="center" wrapText="1"/>
    </xf>
    <xf numFmtId="0" fontId="16" fillId="15" borderId="4" xfId="0" applyFont="1" applyFill="1" applyBorder="1" applyAlignment="1">
      <alignment horizontal="center" wrapText="1"/>
    </xf>
    <xf numFmtId="0" fontId="2" fillId="0" borderId="0" xfId="0" applyFont="1"/>
    <xf numFmtId="6" fontId="2" fillId="0" borderId="0" xfId="0" applyNumberFormat="1" applyFont="1"/>
    <xf numFmtId="0" fontId="3" fillId="2" borderId="2" xfId="0" applyFont="1" applyFill="1" applyBorder="1" applyAlignment="1">
      <alignment horizontal="center" vertical="center"/>
    </xf>
    <xf numFmtId="0" fontId="3" fillId="2" borderId="4" xfId="0" applyFont="1" applyFill="1" applyBorder="1" applyAlignment="1">
      <alignment horizontal="center" vertical="center"/>
    </xf>
    <xf numFmtId="6" fontId="2" fillId="0" borderId="0" xfId="0" applyNumberFormat="1" applyFont="1" applyProtection="1">
      <protection locked="0"/>
    </xf>
    <xf numFmtId="0" fontId="19" fillId="14" borderId="2" xfId="0" applyFont="1" applyFill="1" applyBorder="1" applyAlignment="1">
      <alignment horizontal="left" vertical="center" wrapText="1" indent="1"/>
    </xf>
    <xf numFmtId="0" fontId="19" fillId="14" borderId="4" xfId="0" applyFont="1" applyFill="1" applyBorder="1" applyAlignment="1">
      <alignment horizontal="left" vertical="center" wrapText="1" indent="1"/>
    </xf>
    <xf numFmtId="0" fontId="19" fillId="14" borderId="1" xfId="0" applyFont="1" applyFill="1" applyBorder="1" applyAlignment="1">
      <alignment horizontal="left" vertical="center" wrapText="1" indent="1"/>
    </xf>
    <xf numFmtId="0" fontId="19" fillId="14" borderId="2" xfId="0" applyFont="1" applyFill="1" applyBorder="1" applyAlignment="1">
      <alignment horizontal="left" vertical="center" wrapText="1" indent="1"/>
    </xf>
    <xf numFmtId="0" fontId="0" fillId="14" borderId="4" xfId="0" applyFill="1" applyBorder="1" applyAlignment="1">
      <alignment horizontal="left" vertical="center" wrapText="1" indent="1"/>
    </xf>
    <xf numFmtId="0" fontId="15" fillId="2" borderId="2" xfId="0" applyFont="1" applyFill="1" applyBorder="1" applyAlignment="1">
      <alignment horizontal="left" vertical="center" wrapText="1" indent="1"/>
    </xf>
    <xf numFmtId="0" fontId="15" fillId="2" borderId="2" xfId="0" applyFont="1" applyFill="1" applyBorder="1" applyAlignment="1">
      <alignment horizontal="left" vertical="center" wrapText="1" indent="1"/>
    </xf>
    <xf numFmtId="4" fontId="13" fillId="0" borderId="4" xfId="0" applyNumberFormat="1" applyFont="1" applyBorder="1" applyAlignment="1">
      <alignment horizontal="left" vertical="center" wrapText="1" indent="1"/>
    </xf>
    <xf numFmtId="164" fontId="0" fillId="2" borderId="7" xfId="0" applyNumberFormat="1" applyFill="1" applyBorder="1" applyAlignment="1" applyProtection="1">
      <alignment horizontal="center" vertical="center" wrapText="1"/>
      <protection locked="0"/>
    </xf>
    <xf numFmtId="0" fontId="31" fillId="6" borderId="2" xfId="0" applyFont="1" applyFill="1" applyBorder="1" applyAlignment="1">
      <alignment horizontal="center" wrapText="1"/>
    </xf>
    <xf numFmtId="0" fontId="31" fillId="6" borderId="3" xfId="0" applyFont="1" applyFill="1" applyBorder="1" applyAlignment="1">
      <alignment horizontal="center" wrapText="1"/>
    </xf>
    <xf numFmtId="0" fontId="31" fillId="6" borderId="4" xfId="0" applyFont="1" applyFill="1" applyBorder="1" applyAlignment="1">
      <alignment horizontal="center" wrapText="1"/>
    </xf>
    <xf numFmtId="0" fontId="0" fillId="0" borderId="3" xfId="0" applyBorder="1" applyAlignment="1">
      <alignment wrapText="1"/>
    </xf>
    <xf numFmtId="0" fontId="32" fillId="2" borderId="0" xfId="0" applyFont="1" applyFill="1"/>
    <xf numFmtId="6" fontId="15" fillId="0" borderId="22" xfId="0" applyNumberFormat="1" applyFont="1" applyBorder="1" applyAlignment="1">
      <alignment horizontal="left" vertical="center" wrapText="1" indent="1"/>
    </xf>
    <xf numFmtId="165" fontId="2" fillId="2" borderId="0" xfId="0" applyNumberFormat="1" applyFont="1" applyFill="1"/>
    <xf numFmtId="8" fontId="15" fillId="2" borderId="22" xfId="0" applyNumberFormat="1" applyFont="1" applyFill="1" applyBorder="1" applyAlignment="1">
      <alignment horizontal="left" vertical="center" wrapText="1" indent="1"/>
    </xf>
    <xf numFmtId="0" fontId="19" fillId="2" borderId="8"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15" fillId="2" borderId="4" xfId="0" applyFont="1" applyFill="1" applyBorder="1" applyAlignment="1">
      <alignment horizontal="left" vertical="center" wrapText="1" indent="1"/>
    </xf>
    <xf numFmtId="164" fontId="0" fillId="2" borderId="2" xfId="0" applyNumberFormat="1" applyFill="1" applyBorder="1" applyAlignment="1" applyProtection="1">
      <alignment horizontal="center" wrapText="1"/>
      <protection locked="0"/>
    </xf>
    <xf numFmtId="164" fontId="0" fillId="2" borderId="4" xfId="0" applyNumberFormat="1" applyFill="1" applyBorder="1" applyAlignment="1" applyProtection="1">
      <alignment horizontal="center" wrapText="1"/>
      <protection locked="0"/>
    </xf>
    <xf numFmtId="10" fontId="0" fillId="2" borderId="1" xfId="0" applyNumberFormat="1" applyFill="1" applyBorder="1" applyAlignment="1">
      <alignment horizontal="center"/>
    </xf>
    <xf numFmtId="166" fontId="0" fillId="2" borderId="1" xfId="0" applyNumberFormat="1" applyFill="1" applyBorder="1" applyAlignment="1">
      <alignment horizontal="center"/>
    </xf>
    <xf numFmtId="0" fontId="2" fillId="0" borderId="0" xfId="0" applyFont="1" applyAlignment="1" applyProtection="1">
      <alignment wrapText="1"/>
      <protection locked="0"/>
    </xf>
    <xf numFmtId="0" fontId="33"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3" fillId="0" borderId="0" xfId="0" applyFont="1"/>
    <xf numFmtId="0" fontId="15" fillId="2" borderId="2" xfId="0" applyFont="1" applyFill="1" applyBorder="1" applyAlignment="1">
      <alignment horizontal="left" vertical="center" wrapText="1"/>
    </xf>
    <xf numFmtId="0" fontId="0" fillId="0" borderId="4" xfId="0" applyBorder="1" applyAlignment="1">
      <alignment horizontal="left" vertical="center" wrapText="1"/>
    </xf>
    <xf numFmtId="8" fontId="15" fillId="2" borderId="1" xfId="0" applyNumberFormat="1" applyFont="1" applyFill="1" applyBorder="1" applyAlignment="1">
      <alignment horizontal="left" vertical="center"/>
    </xf>
    <xf numFmtId="0" fontId="30" fillId="2" borderId="0" xfId="0" applyFont="1" applyFill="1"/>
    <xf numFmtId="0" fontId="34" fillId="2" borderId="0" xfId="0" applyFont="1" applyFill="1"/>
    <xf numFmtId="0" fontId="15" fillId="2" borderId="3" xfId="0" applyFont="1" applyFill="1" applyBorder="1" applyAlignment="1">
      <alignment horizontal="center" vertical="center" wrapText="1"/>
    </xf>
    <xf numFmtId="0" fontId="28" fillId="2" borderId="0" xfId="0" applyFont="1" applyFill="1" applyAlignment="1">
      <alignment horizontal="left" vertical="center" wrapText="1"/>
    </xf>
    <xf numFmtId="0" fontId="25" fillId="2" borderId="0" xfId="0" applyFont="1" applyFill="1" applyAlignment="1">
      <alignment horizontal="center"/>
    </xf>
    <xf numFmtId="0" fontId="13" fillId="2" borderId="0" xfId="0" applyFont="1" applyFill="1" applyAlignment="1">
      <alignment horizontal="centerContinuous"/>
    </xf>
    <xf numFmtId="9" fontId="13" fillId="2" borderId="0" xfId="0" applyNumberFormat="1" applyFont="1" applyFill="1"/>
    <xf numFmtId="6" fontId="13" fillId="2" borderId="0" xfId="0" applyNumberFormat="1" applyFont="1" applyFill="1" applyAlignment="1">
      <alignment horizontal="left"/>
    </xf>
    <xf numFmtId="0" fontId="2" fillId="11" borderId="21" xfId="0" applyFont="1" applyFill="1" applyBorder="1"/>
    <xf numFmtId="0" fontId="2" fillId="0" borderId="21" xfId="0" applyFont="1" applyBorder="1"/>
    <xf numFmtId="0" fontId="25" fillId="0" borderId="1" xfId="0" applyFont="1" applyBorder="1" applyAlignment="1">
      <alignment horizontal="center" vertical="center" wrapText="1"/>
    </xf>
    <xf numFmtId="0" fontId="0" fillId="0" borderId="4" xfId="0" applyBorder="1" applyAlignment="1">
      <alignment horizontal="center" vertical="center" wrapText="1"/>
    </xf>
    <xf numFmtId="0" fontId="15" fillId="2" borderId="2" xfId="0" applyFont="1" applyFill="1" applyBorder="1" applyAlignment="1" applyProtection="1">
      <alignment vertical="center" wrapText="1"/>
      <protection locked="0"/>
    </xf>
    <xf numFmtId="0" fontId="0" fillId="0" borderId="4" xfId="0" applyBorder="1" applyAlignment="1" applyProtection="1">
      <alignment vertical="center" wrapText="1"/>
      <protection locked="0"/>
    </xf>
    <xf numFmtId="8" fontId="15" fillId="2" borderId="22" xfId="0" applyNumberFormat="1" applyFont="1" applyFill="1" applyBorder="1" applyAlignment="1" applyProtection="1">
      <alignment vertical="center" wrapText="1"/>
      <protection locked="0"/>
    </xf>
    <xf numFmtId="8" fontId="15" fillId="2" borderId="1" xfId="0" applyNumberFormat="1" applyFont="1" applyFill="1" applyBorder="1" applyAlignment="1" applyProtection="1">
      <alignment vertical="center" wrapText="1"/>
      <protection locked="0"/>
    </xf>
    <xf numFmtId="0" fontId="15" fillId="2" borderId="1" xfId="0" applyFont="1" applyFill="1" applyBorder="1" applyAlignment="1">
      <alignment vertical="center" wrapText="1"/>
    </xf>
    <xf numFmtId="2" fontId="0" fillId="0" borderId="1" xfId="0" applyNumberFormat="1" applyBorder="1" applyAlignment="1" applyProtection="1">
      <alignment vertical="center" wrapText="1"/>
      <protection locked="0"/>
    </xf>
    <xf numFmtId="9" fontId="2" fillId="2" borderId="0" xfId="0" applyNumberFormat="1" applyFont="1" applyFill="1"/>
    <xf numFmtId="0" fontId="15" fillId="0" borderId="3" xfId="0" applyFont="1" applyBorder="1" applyAlignment="1">
      <alignment horizontal="left" vertical="center" wrapText="1" indent="1"/>
    </xf>
    <xf numFmtId="8" fontId="15" fillId="15"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left"/>
    </xf>
    <xf numFmtId="0" fontId="0" fillId="0" borderId="0" xfId="0" applyAlignment="1">
      <alignment horizontal="left" vertical="center" wrapText="1" indent="1"/>
    </xf>
    <xf numFmtId="6" fontId="15" fillId="12" borderId="0" xfId="0" applyNumberFormat="1" applyFont="1" applyFill="1" applyAlignment="1">
      <alignment horizontal="left" vertical="center" wrapText="1" indent="1"/>
    </xf>
    <xf numFmtId="0" fontId="2" fillId="0" borderId="0" xfId="0" applyFont="1" applyAlignment="1">
      <alignment horizontal="left" vertical="center" wrapText="1" indent="1"/>
    </xf>
    <xf numFmtId="6" fontId="27" fillId="2" borderId="0" xfId="0" applyNumberFormat="1" applyFont="1" applyFill="1" applyAlignment="1">
      <alignment horizontal="left" vertical="center" wrapText="1" indent="1"/>
    </xf>
    <xf numFmtId="6" fontId="27" fillId="0" borderId="0" xfId="0" applyNumberFormat="1" applyFont="1" applyAlignment="1">
      <alignment horizontal="left" vertical="center" wrapText="1" indent="1"/>
    </xf>
    <xf numFmtId="6" fontId="2" fillId="2" borderId="0" xfId="0" applyNumberFormat="1" applyFont="1" applyFill="1" applyAlignment="1">
      <alignment horizontal="left"/>
    </xf>
    <xf numFmtId="0" fontId="15" fillId="2" borderId="3" xfId="0" applyFont="1"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xf numFmtId="171" fontId="2" fillId="0" borderId="6" xfId="0" applyNumberFormat="1" applyFont="1" applyBorder="1" applyAlignment="1">
      <alignment horizontal="left" vertical="center" wrapText="1" indent="1"/>
    </xf>
    <xf numFmtId="8" fontId="2" fillId="0" borderId="6" xfId="0" applyNumberFormat="1" applyFont="1" applyBorder="1" applyAlignment="1">
      <alignment horizontal="left" vertical="center" wrapText="1" indent="1"/>
    </xf>
    <xf numFmtId="8" fontId="13" fillId="2" borderId="4" xfId="0" applyNumberFormat="1" applyFont="1" applyFill="1" applyBorder="1" applyAlignment="1">
      <alignment horizontal="left" vertical="center" wrapText="1" indent="1"/>
    </xf>
    <xf numFmtId="0" fontId="19" fillId="2" borderId="3" xfId="0" applyFont="1" applyFill="1" applyBorder="1" applyAlignment="1">
      <alignment horizontal="center" vertical="center" wrapText="1"/>
    </xf>
    <xf numFmtId="0" fontId="28" fillId="0" borderId="0" xfId="0" applyFont="1"/>
    <xf numFmtId="0" fontId="15" fillId="2" borderId="27" xfId="0" applyFont="1" applyFill="1" applyBorder="1" applyAlignment="1">
      <alignment horizontal="left" vertical="center" wrapText="1" indent="1"/>
    </xf>
    <xf numFmtId="0" fontId="27" fillId="2" borderId="27" xfId="0" applyFont="1" applyFill="1" applyBorder="1" applyAlignment="1">
      <alignment horizontal="left" vertical="center" wrapText="1" indent="1"/>
    </xf>
    <xf numFmtId="0" fontId="14" fillId="16" borderId="11" xfId="0" applyFont="1" applyFill="1" applyBorder="1" applyAlignment="1" applyProtection="1">
      <alignment horizontal="center"/>
      <protection locked="0"/>
    </xf>
    <xf numFmtId="3" fontId="17" fillId="16" borderId="12" xfId="2" applyNumberFormat="1" applyFont="1" applyFill="1" applyAlignment="1" applyProtection="1">
      <alignment horizontal="center" vertical="center"/>
      <protection locked="0"/>
    </xf>
    <xf numFmtId="0" fontId="16" fillId="16" borderId="2" xfId="0" applyFont="1" applyFill="1" applyBorder="1" applyAlignment="1">
      <alignment horizontal="center" wrapText="1"/>
    </xf>
    <xf numFmtId="0" fontId="0" fillId="16" borderId="3" xfId="0" applyFill="1" applyBorder="1" applyAlignment="1">
      <alignment horizontal="center" wrapText="1"/>
    </xf>
    <xf numFmtId="0" fontId="0" fillId="16" borderId="4" xfId="0" applyFill="1" applyBorder="1" applyAlignment="1">
      <alignment horizontal="center" wrapText="1"/>
    </xf>
    <xf numFmtId="0" fontId="10" fillId="16" borderId="21" xfId="0" applyFont="1" applyFill="1" applyBorder="1" applyAlignment="1">
      <alignment horizontal="right"/>
    </xf>
    <xf numFmtId="3" fontId="10" fillId="16" borderId="21" xfId="0" applyNumberFormat="1" applyFont="1" applyFill="1" applyBorder="1"/>
    <xf numFmtId="0" fontId="10" fillId="16" borderId="21" xfId="0" applyFont="1" applyFill="1" applyBorder="1"/>
    <xf numFmtId="0" fontId="10" fillId="16" borderId="21" xfId="0" applyFont="1" applyFill="1" applyBorder="1" applyAlignment="1">
      <alignment horizontal="center"/>
    </xf>
  </cellXfs>
  <cellStyles count="4">
    <cellStyle name="Currency" xfId="1" builtinId="4"/>
    <cellStyle name="Hyperlink" xfId="3" builtinId="8"/>
    <cellStyle name="Input" xfId="2" builtinId="20"/>
    <cellStyle name="Normal" xfId="0" builtinId="0"/>
  </cellStyles>
  <dxfs count="12">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154459</xdr:colOff>
      <xdr:row>69</xdr:row>
      <xdr:rowOff>37585</xdr:rowOff>
    </xdr:from>
    <xdr:to>
      <xdr:col>13</xdr:col>
      <xdr:colOff>22654</xdr:colOff>
      <xdr:row>73</xdr:row>
      <xdr:rowOff>192559</xdr:rowOff>
    </xdr:to>
    <xdr:sp macro="" textlink="">
      <xdr:nvSpPr>
        <xdr:cNvPr id="2" name="Rectangle: Rounded Corners 1">
          <a:extLst>
            <a:ext uri="{FF2B5EF4-FFF2-40B4-BE49-F238E27FC236}">
              <a16:creationId xmlns:a16="http://schemas.microsoft.com/office/drawing/2014/main" id="{66DB1BFA-F65B-4D33-8922-3E78178CA6C2}"/>
            </a:ext>
          </a:extLst>
        </xdr:cNvPr>
        <xdr:cNvSpPr/>
      </xdr:nvSpPr>
      <xdr:spPr>
        <a:xfrm>
          <a:off x="154459" y="6486010"/>
          <a:ext cx="7326270" cy="916974"/>
        </a:xfrm>
        <a:prstGeom prst="round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400" b="1"/>
            <a:t> </a:t>
          </a:r>
          <a:r>
            <a:rPr lang="en-US" sz="1400" b="1">
              <a:solidFill>
                <a:schemeClr val="tx1"/>
              </a:solidFill>
            </a:rPr>
            <a:t>Tax Estimate Disclaimer:</a:t>
          </a:r>
          <a:endParaRPr lang="en-US" sz="1400">
            <a:solidFill>
              <a:schemeClr val="tx1"/>
            </a:solidFill>
          </a:endParaRPr>
        </a:p>
        <a:p>
          <a:r>
            <a:rPr lang="en-US" sz="1400">
              <a:solidFill>
                <a:schemeClr val="tx1"/>
              </a:solidFill>
            </a:rPr>
            <a:t>This is an estimate only. The final tax bill may differ. Not responsible for errors. For information only</a:t>
          </a:r>
          <a:r>
            <a:rPr lang="en-US" sz="1400"/>
            <a:t>.</a:t>
          </a:r>
        </a:p>
        <a:p>
          <a:pPr algn="l"/>
          <a:endParaRPr lang="en-US" sz="1100"/>
        </a:p>
      </xdr:txBody>
    </xdr:sp>
    <xdr:clientData/>
  </xdr:twoCellAnchor>
  <xdr:twoCellAnchor>
    <xdr:from>
      <xdr:col>13</xdr:col>
      <xdr:colOff>84496</xdr:colOff>
      <xdr:row>4</xdr:row>
      <xdr:rowOff>130585</xdr:rowOff>
    </xdr:from>
    <xdr:to>
      <xdr:col>14</xdr:col>
      <xdr:colOff>291896</xdr:colOff>
      <xdr:row>4</xdr:row>
      <xdr:rowOff>145948</xdr:rowOff>
    </xdr:to>
    <xdr:cxnSp macro="">
      <xdr:nvCxnSpPr>
        <xdr:cNvPr id="3" name="Straight Arrow Connector 2">
          <a:extLst>
            <a:ext uri="{FF2B5EF4-FFF2-40B4-BE49-F238E27FC236}">
              <a16:creationId xmlns:a16="http://schemas.microsoft.com/office/drawing/2014/main" id="{DDF56067-9B09-42F1-9BC2-CD997402B18C}"/>
            </a:ext>
          </a:extLst>
        </xdr:cNvPr>
        <xdr:cNvCxnSpPr/>
      </xdr:nvCxnSpPr>
      <xdr:spPr>
        <a:xfrm flipH="1" flipV="1">
          <a:off x="7542571" y="1197385"/>
          <a:ext cx="540775" cy="1536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38407</xdr:colOff>
      <xdr:row>1</xdr:row>
      <xdr:rowOff>199717</xdr:rowOff>
    </xdr:from>
    <xdr:to>
      <xdr:col>14</xdr:col>
      <xdr:colOff>337984</xdr:colOff>
      <xdr:row>2</xdr:row>
      <xdr:rowOff>84496</xdr:rowOff>
    </xdr:to>
    <xdr:cxnSp macro="">
      <xdr:nvCxnSpPr>
        <xdr:cNvPr id="4" name="Straight Arrow Connector 3">
          <a:extLst>
            <a:ext uri="{FF2B5EF4-FFF2-40B4-BE49-F238E27FC236}">
              <a16:creationId xmlns:a16="http://schemas.microsoft.com/office/drawing/2014/main" id="{72D34E75-C53C-432F-8EFB-94CE315B3CCE}"/>
            </a:ext>
          </a:extLst>
        </xdr:cNvPr>
        <xdr:cNvCxnSpPr/>
      </xdr:nvCxnSpPr>
      <xdr:spPr>
        <a:xfrm flipH="1" flipV="1">
          <a:off x="7496482" y="399742"/>
          <a:ext cx="632952" cy="25625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xdr:colOff>
      <xdr:row>69</xdr:row>
      <xdr:rowOff>0</xdr:rowOff>
    </xdr:from>
    <xdr:to>
      <xdr:col>27</xdr:col>
      <xdr:colOff>15364</xdr:colOff>
      <xdr:row>73</xdr:row>
      <xdr:rowOff>154974</xdr:rowOff>
    </xdr:to>
    <xdr:sp macro="" textlink="">
      <xdr:nvSpPr>
        <xdr:cNvPr id="5" name="Rectangle: Rounded Corners 4">
          <a:extLst>
            <a:ext uri="{FF2B5EF4-FFF2-40B4-BE49-F238E27FC236}">
              <a16:creationId xmlns:a16="http://schemas.microsoft.com/office/drawing/2014/main" id="{F87452A2-D3C1-42B1-9689-1FD9B4E8C28E}"/>
            </a:ext>
          </a:extLst>
        </xdr:cNvPr>
        <xdr:cNvSpPr/>
      </xdr:nvSpPr>
      <xdr:spPr>
        <a:xfrm>
          <a:off x="8143876" y="6448425"/>
          <a:ext cx="2996688" cy="916974"/>
        </a:xfrm>
        <a:prstGeom prst="round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solidFill>
                <a:schemeClr val="tx1"/>
              </a:solidFill>
            </a:rPr>
            <a:t>To avoid an underpayment penalty, pay your "Safe Harbor" amount by December 31st (or January 15th), ideally adding a 10% buffer to cover any errors or unexpected</a:t>
          </a:r>
          <a:r>
            <a:rPr lang="en-US" baseline="0">
              <a:solidFill>
                <a:schemeClr val="tx1"/>
              </a:solidFill>
            </a:rPr>
            <a:t> Income.</a:t>
          </a:r>
          <a:r>
            <a:rPr lang="en-US">
              <a:solidFill>
                <a:schemeClr val="tx1"/>
              </a:solidFill>
            </a:rPr>
            <a:t> </a:t>
          </a:r>
          <a:r>
            <a:rPr lang="en-US"/>
            <a:t>income.December 31st (or January 15th), ideally adding a 10% buffer to cover any errors or unexpected income.</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ramo/Downloads/expense-reimbursement-form.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ERVER2019\Employee%20Data\OneDrive\2026%20Forms%20(%20Final)\2016%20Tax%20Season\2026%20Tax%20Forms\Business_Tax_Questionnaire%202025.xlsx" TargetMode="External"/><Relationship Id="rId1" Type="http://schemas.openxmlformats.org/officeDocument/2006/relationships/externalLinkPath" Target="2026%20Tax%20Forms/Business_Tax_Questionnaire%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enseReport"/>
      <sheetName val="Categories"/>
      <sheetName val="©"/>
    </sheetNames>
    <sheetDataSet>
      <sheetData sheetId="0"/>
      <sheetData sheetId="1">
        <row r="1">
          <cell r="A1" t="str">
            <v>**** Categories ****</v>
          </cell>
        </row>
        <row r="2">
          <cell r="A2" t="str">
            <v>Advertising, Sales Exp</v>
          </cell>
        </row>
        <row r="3">
          <cell r="A3" t="str">
            <v>Accounting Fee</v>
          </cell>
        </row>
        <row r="4">
          <cell r="A4" t="str">
            <v>Automobile and truck expenses</v>
          </cell>
        </row>
        <row r="5">
          <cell r="A5" t="str">
            <v>Business Miles</v>
          </cell>
        </row>
        <row r="6">
          <cell r="A6" t="str">
            <v>Bank Service Charges</v>
          </cell>
        </row>
        <row r="7">
          <cell r="A7" t="str">
            <v>Cleaning / Janitorial</v>
          </cell>
        </row>
        <row r="8">
          <cell r="A8" t="str">
            <v>Dues &amp; Membership</v>
          </cell>
        </row>
        <row r="9">
          <cell r="A9" t="str">
            <v>Insurance (Business Related)</v>
          </cell>
        </row>
        <row r="10">
          <cell r="A10" t="str">
            <v>Internet</v>
          </cell>
        </row>
        <row r="11">
          <cell r="A11" t="str">
            <v>Interest on business Loan/Car</v>
          </cell>
        </row>
        <row r="12">
          <cell r="A12" t="str">
            <v>License and Permits</v>
          </cell>
        </row>
        <row r="13">
          <cell r="A13" t="str">
            <v>Legal and professional fees</v>
          </cell>
        </row>
        <row r="14">
          <cell r="A14" t="str">
            <v>Lease Payments ( Car, Printer etc)</v>
          </cell>
        </row>
        <row r="15">
          <cell r="A15" t="str">
            <v>Meal and Entetainment</v>
          </cell>
        </row>
        <row r="16">
          <cell r="A16" t="str">
            <v>Office Expense &amp; Printing</v>
          </cell>
        </row>
        <row r="17">
          <cell r="A17" t="str">
            <v>Payroll Processing Fee</v>
          </cell>
        </row>
        <row r="18">
          <cell r="A18" t="str">
            <v>Parking and Toll</v>
          </cell>
        </row>
        <row r="19">
          <cell r="A19" t="str">
            <v>Postage/Delivery Expenses</v>
          </cell>
        </row>
        <row r="20">
          <cell r="A20" t="str">
            <v>Rent for the office or Eqipments</v>
          </cell>
        </row>
        <row r="21">
          <cell r="A21" t="str">
            <v>Repairs on Business Assets</v>
          </cell>
        </row>
        <row r="22">
          <cell r="A22" t="str">
            <v>State Income Tax paid for last year</v>
          </cell>
        </row>
        <row r="23">
          <cell r="A23" t="str">
            <v>Sec of State ( Annual Report)</v>
          </cell>
        </row>
        <row r="24">
          <cell r="A24" t="str">
            <v>Software Exp</v>
          </cell>
        </row>
        <row r="25">
          <cell r="A25" t="str">
            <v>Storage /Server Fees</v>
          </cell>
        </row>
        <row r="26">
          <cell r="A26" t="str">
            <v>Seminars &amp; Trade Shows</v>
          </cell>
        </row>
        <row r="27">
          <cell r="A27" t="str">
            <v>Small Tools/Small Office Furniture</v>
          </cell>
        </row>
        <row r="28">
          <cell r="A28" t="str">
            <v>Security Service</v>
          </cell>
        </row>
        <row r="29">
          <cell r="A29" t="str">
            <v>Traning Exp/Prof Development</v>
          </cell>
        </row>
        <row r="30">
          <cell r="A30" t="str">
            <v>Telephone  (Land, Cell, Fax)</v>
          </cell>
        </row>
        <row r="31">
          <cell r="A31" t="str">
            <v>Travel Exp (Flight, Taxi etc)</v>
          </cell>
        </row>
        <row r="32">
          <cell r="A32" t="str">
            <v>Website/Webhosting</v>
          </cell>
        </row>
        <row r="33">
          <cell r="A33"/>
        </row>
        <row r="34">
          <cell r="A34"/>
        </row>
        <row r="35">
          <cell r="A35"/>
        </row>
        <row r="36">
          <cell r="A36"/>
        </row>
        <row r="37">
          <cell r="A37"/>
        </row>
        <row r="38">
          <cell r="A38"/>
        </row>
        <row r="39">
          <cell r="A39"/>
        </row>
        <row r="40">
          <cell r="A40"/>
        </row>
        <row r="41">
          <cell r="A41"/>
        </row>
        <row r="42">
          <cell r="A42"/>
        </row>
        <row r="43">
          <cell r="A43"/>
        </row>
        <row r="44">
          <cell r="A44"/>
        </row>
        <row r="45">
          <cell r="A45"/>
        </row>
        <row r="46">
          <cell r="A46"/>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Tab"/>
      <sheetName val="Income &amp; Exp Worksheet "/>
      <sheetName val="Tax Estimator Delete"/>
      <sheetName val="Tax Estimator"/>
      <sheetName val="2025 Mileage Log"/>
      <sheetName val="P&amp;L"/>
      <sheetName val="Balance sheet"/>
      <sheetName val="Great Rules"/>
      <sheetName val="P&amp;L (2)"/>
      <sheetName val="Balance sheet (2)"/>
      <sheetName val="Personal Tax Savings"/>
      <sheetName val="Business Tax Savings"/>
      <sheetName val="Possible Business Expense"/>
      <sheetName val="2024 Tax Year Calculator"/>
    </sheetNames>
    <sheetDataSet>
      <sheetData sheetId="0">
        <row r="7">
          <cell r="J7" t="str">
            <v>Tax Entity Type - Please Select</v>
          </cell>
        </row>
      </sheetData>
      <sheetData sheetId="1">
        <row r="39">
          <cell r="X39">
            <v>0</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A508A-0738-4458-8A7C-740E4900379A}">
  <sheetPr codeName="Sheet2"/>
  <dimension ref="A1:BW46"/>
  <sheetViews>
    <sheetView workbookViewId="0">
      <selection activeCell="S12" sqref="S12"/>
    </sheetView>
  </sheetViews>
  <sheetFormatPr defaultRowHeight="15" x14ac:dyDescent="0.25"/>
  <cols>
    <col min="1" max="1" width="30.7109375" customWidth="1"/>
    <col min="2" max="2" width="22" customWidth="1"/>
    <col min="3" max="3" width="15.42578125" customWidth="1"/>
    <col min="4" max="4" width="16.7109375" customWidth="1"/>
    <col min="5" max="5" width="21.85546875" customWidth="1"/>
    <col min="6" max="7" width="17.140625" customWidth="1"/>
    <col min="8" max="8" width="17.140625" hidden="1" customWidth="1"/>
    <col min="9" max="9" width="14.85546875" style="7" hidden="1" customWidth="1"/>
    <col min="10" max="10" width="10.28515625" style="7" hidden="1" customWidth="1"/>
    <col min="11" max="13" width="6.140625" style="7" hidden="1" customWidth="1"/>
    <col min="14" max="75" width="6.140625" style="7" customWidth="1"/>
    <col min="76" max="80" width="6.140625" customWidth="1"/>
  </cols>
  <sheetData>
    <row r="1" spans="1:75" ht="30" customHeight="1" x14ac:dyDescent="0.25">
      <c r="A1" s="1" t="s">
        <v>15</v>
      </c>
      <c r="B1" s="175"/>
      <c r="C1" s="176"/>
      <c r="D1" s="176"/>
      <c r="E1" s="177"/>
      <c r="F1" s="7"/>
      <c r="G1" s="7"/>
      <c r="H1" s="7">
        <f>YEAR(A9)</f>
        <v>2025</v>
      </c>
      <c r="I1" s="7">
        <v>2000</v>
      </c>
      <c r="J1" s="7">
        <v>10000</v>
      </c>
    </row>
    <row r="2" spans="1:75" x14ac:dyDescent="0.25">
      <c r="C2" s="7"/>
      <c r="D2" s="7"/>
      <c r="E2" s="7"/>
      <c r="F2" s="7"/>
      <c r="G2" s="7"/>
      <c r="H2" s="7">
        <f t="shared" ref="H2:H34" si="0">YEAR(A10)</f>
        <v>1900</v>
      </c>
      <c r="I2" s="7">
        <v>2001</v>
      </c>
      <c r="J2" s="7">
        <v>10000</v>
      </c>
    </row>
    <row r="3" spans="1:75" ht="23.45" customHeight="1" x14ac:dyDescent="0.25">
      <c r="A3" s="1" t="s">
        <v>0</v>
      </c>
      <c r="B3" s="11">
        <v>19000</v>
      </c>
      <c r="C3" s="7" t="s">
        <v>1</v>
      </c>
      <c r="D3" s="7"/>
      <c r="E3" s="7"/>
      <c r="F3" s="7"/>
      <c r="G3" s="7"/>
      <c r="H3" s="7">
        <f t="shared" si="0"/>
        <v>1900</v>
      </c>
      <c r="I3" s="7">
        <v>2022</v>
      </c>
      <c r="J3" s="7">
        <v>11000</v>
      </c>
    </row>
    <row r="4" spans="1:75" ht="23.45" customHeight="1" x14ac:dyDescent="0.25">
      <c r="A4" s="1" t="s">
        <v>2</v>
      </c>
      <c r="B4" s="11">
        <v>13990000</v>
      </c>
      <c r="C4" s="7" t="s">
        <v>3</v>
      </c>
      <c r="D4" s="7"/>
      <c r="E4" s="7"/>
      <c r="F4" s="7"/>
      <c r="G4" s="7"/>
      <c r="H4" s="7">
        <f t="shared" si="0"/>
        <v>1900</v>
      </c>
      <c r="I4" s="7">
        <v>2003</v>
      </c>
      <c r="J4" s="7">
        <v>11000</v>
      </c>
    </row>
    <row r="5" spans="1:75" ht="23.45" customHeight="1" x14ac:dyDescent="0.25">
      <c r="A5" s="9" t="s">
        <v>4</v>
      </c>
      <c r="B5" s="10">
        <f>SUM(F10:F100)</f>
        <v>0</v>
      </c>
      <c r="C5" s="7" t="s">
        <v>5</v>
      </c>
      <c r="D5" s="7"/>
      <c r="E5" s="7"/>
      <c r="F5" s="7"/>
      <c r="G5" s="7"/>
      <c r="H5" s="7">
        <f t="shared" si="0"/>
        <v>1900</v>
      </c>
      <c r="I5" s="7">
        <v>2004</v>
      </c>
      <c r="J5" s="7">
        <v>11000</v>
      </c>
    </row>
    <row r="6" spans="1:75" ht="23.45" customHeight="1" x14ac:dyDescent="0.25">
      <c r="A6" s="9" t="s">
        <v>6</v>
      </c>
      <c r="B6" s="10">
        <f>B4-B5</f>
        <v>13990000</v>
      </c>
      <c r="C6" s="7" t="s">
        <v>5</v>
      </c>
      <c r="D6" s="7"/>
      <c r="E6" s="7"/>
      <c r="F6" s="7"/>
      <c r="G6" s="7"/>
      <c r="H6" s="7">
        <f t="shared" si="0"/>
        <v>1900</v>
      </c>
      <c r="I6" s="7">
        <v>2005</v>
      </c>
      <c r="J6" s="7">
        <v>11000</v>
      </c>
    </row>
    <row r="7" spans="1:75" s="6" customFormat="1" x14ac:dyDescent="0.25">
      <c r="C7" s="8"/>
      <c r="D7" s="8"/>
      <c r="E7" s="8"/>
      <c r="F7" s="8"/>
      <c r="G7" s="8"/>
      <c r="H7" s="7">
        <f t="shared" si="0"/>
        <v>1900</v>
      </c>
      <c r="I7" s="7">
        <v>2006</v>
      </c>
      <c r="J7" s="8">
        <v>12000</v>
      </c>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row>
    <row r="8" spans="1:75" s="6" customFormat="1" ht="60" x14ac:dyDescent="0.25">
      <c r="A8" s="12" t="s">
        <v>7</v>
      </c>
      <c r="B8" s="12" t="s">
        <v>8</v>
      </c>
      <c r="C8" s="12" t="s">
        <v>9</v>
      </c>
      <c r="D8" s="12" t="s">
        <v>10</v>
      </c>
      <c r="E8" s="12" t="s">
        <v>11</v>
      </c>
      <c r="F8" s="12" t="s">
        <v>12</v>
      </c>
      <c r="G8" s="12" t="s">
        <v>16</v>
      </c>
      <c r="H8">
        <f t="shared" si="0"/>
        <v>1900</v>
      </c>
      <c r="I8" s="7">
        <v>2007</v>
      </c>
      <c r="J8" s="8">
        <v>12000</v>
      </c>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row>
    <row r="9" spans="1:75" ht="24.75" customHeight="1" x14ac:dyDescent="0.25">
      <c r="A9" s="16">
        <v>45992</v>
      </c>
      <c r="B9" s="17" t="s">
        <v>13</v>
      </c>
      <c r="C9" s="17" t="s">
        <v>14</v>
      </c>
      <c r="D9" s="18">
        <v>25000</v>
      </c>
      <c r="E9" s="18">
        <f>MIN(D9,L9)</f>
        <v>19000</v>
      </c>
      <c r="F9" s="18">
        <f>MAX(0,D9-E9)</f>
        <v>6000</v>
      </c>
      <c r="G9" s="18" t="s">
        <v>17</v>
      </c>
      <c r="H9">
        <f t="shared" si="0"/>
        <v>1900</v>
      </c>
      <c r="I9" s="7">
        <v>2008</v>
      </c>
      <c r="J9" s="8">
        <v>12000</v>
      </c>
      <c r="L9" s="7">
        <f>_xlfn.XLOOKUP(H1, I:I, J:J, "Not Found", 0)</f>
        <v>19000</v>
      </c>
    </row>
    <row r="10" spans="1:75" ht="24.6" customHeight="1" x14ac:dyDescent="0.25">
      <c r="A10" s="13"/>
      <c r="B10" s="14"/>
      <c r="C10" s="14"/>
      <c r="D10" s="15"/>
      <c r="E10" s="5">
        <f t="shared" ref="E10:E34" si="1">MIN(D10,L10)</f>
        <v>0</v>
      </c>
      <c r="F10" s="5">
        <f t="shared" ref="F10:F34" si="2">MAX(0,D10-E10)</f>
        <v>0</v>
      </c>
      <c r="G10" s="15"/>
      <c r="H10">
        <f t="shared" si="0"/>
        <v>1900</v>
      </c>
      <c r="I10" s="7">
        <v>2009</v>
      </c>
      <c r="J10" s="7">
        <v>13000</v>
      </c>
      <c r="L10" s="7" t="str">
        <f>_xlfn.XLOOKUP(H2, I:I, J:J, "Not Found", 0)</f>
        <v>Not Found</v>
      </c>
    </row>
    <row r="11" spans="1:75" ht="24.6" customHeight="1" x14ac:dyDescent="0.25">
      <c r="A11" s="13"/>
      <c r="B11" s="14"/>
      <c r="C11" s="14"/>
      <c r="D11" s="15"/>
      <c r="E11" s="5">
        <f t="shared" si="1"/>
        <v>0</v>
      </c>
      <c r="F11" s="5">
        <f t="shared" si="2"/>
        <v>0</v>
      </c>
      <c r="G11" s="15"/>
      <c r="H11">
        <f t="shared" si="0"/>
        <v>1900</v>
      </c>
      <c r="I11" s="7">
        <v>2010</v>
      </c>
      <c r="J11" s="7">
        <v>13000</v>
      </c>
      <c r="L11" s="7" t="str">
        <f t="shared" ref="L11:L27" si="3">_xlfn.XLOOKUP(H3, I:I, J:J, "Not Found", 0)</f>
        <v>Not Found</v>
      </c>
    </row>
    <row r="12" spans="1:75" ht="24.6" customHeight="1" x14ac:dyDescent="0.25">
      <c r="A12" s="13"/>
      <c r="B12" s="14"/>
      <c r="C12" s="14"/>
      <c r="D12" s="15"/>
      <c r="E12" s="5">
        <f t="shared" si="1"/>
        <v>0</v>
      </c>
      <c r="F12" s="5">
        <f t="shared" si="2"/>
        <v>0</v>
      </c>
      <c r="G12" s="15"/>
      <c r="H12">
        <f t="shared" si="0"/>
        <v>1900</v>
      </c>
      <c r="I12" s="7">
        <v>2011</v>
      </c>
      <c r="J12" s="7">
        <v>13000</v>
      </c>
      <c r="L12" s="7" t="str">
        <f t="shared" si="3"/>
        <v>Not Found</v>
      </c>
    </row>
    <row r="13" spans="1:75" ht="24.6" customHeight="1" x14ac:dyDescent="0.25">
      <c r="A13" s="13"/>
      <c r="B13" s="14"/>
      <c r="C13" s="14"/>
      <c r="D13" s="15"/>
      <c r="E13" s="5">
        <f t="shared" si="1"/>
        <v>0</v>
      </c>
      <c r="F13" s="5">
        <f t="shared" si="2"/>
        <v>0</v>
      </c>
      <c r="G13" s="15"/>
      <c r="H13">
        <f t="shared" si="0"/>
        <v>1900</v>
      </c>
      <c r="I13" s="7">
        <v>2012</v>
      </c>
      <c r="J13" s="7">
        <v>13000</v>
      </c>
      <c r="L13" s="7" t="str">
        <f t="shared" si="3"/>
        <v>Not Found</v>
      </c>
    </row>
    <row r="14" spans="1:75" ht="24.6" customHeight="1" x14ac:dyDescent="0.25">
      <c r="A14" s="13"/>
      <c r="B14" s="14"/>
      <c r="C14" s="14"/>
      <c r="D14" s="15"/>
      <c r="E14" s="5">
        <f t="shared" si="1"/>
        <v>0</v>
      </c>
      <c r="F14" s="5">
        <f t="shared" si="2"/>
        <v>0</v>
      </c>
      <c r="G14" s="15"/>
      <c r="H14">
        <f t="shared" si="0"/>
        <v>1900</v>
      </c>
      <c r="I14" s="7">
        <v>2013</v>
      </c>
      <c r="J14" s="7">
        <v>14000</v>
      </c>
      <c r="L14" s="7" t="str">
        <f t="shared" si="3"/>
        <v>Not Found</v>
      </c>
    </row>
    <row r="15" spans="1:75" ht="24.6" customHeight="1" x14ac:dyDescent="0.25">
      <c r="A15" s="13"/>
      <c r="B15" s="14"/>
      <c r="C15" s="14"/>
      <c r="D15" s="15"/>
      <c r="E15" s="5">
        <f t="shared" si="1"/>
        <v>0</v>
      </c>
      <c r="F15" s="5">
        <f t="shared" si="2"/>
        <v>0</v>
      </c>
      <c r="G15" s="15"/>
      <c r="H15">
        <f t="shared" si="0"/>
        <v>1900</v>
      </c>
      <c r="I15" s="7">
        <v>2014</v>
      </c>
      <c r="J15" s="7">
        <v>14000</v>
      </c>
      <c r="L15" s="7" t="str">
        <f t="shared" si="3"/>
        <v>Not Found</v>
      </c>
    </row>
    <row r="16" spans="1:75" ht="24.6" customHeight="1" x14ac:dyDescent="0.25">
      <c r="A16" s="13"/>
      <c r="B16" s="14"/>
      <c r="C16" s="14"/>
      <c r="D16" s="15"/>
      <c r="E16" s="5">
        <f t="shared" si="1"/>
        <v>0</v>
      </c>
      <c r="F16" s="5">
        <f t="shared" si="2"/>
        <v>0</v>
      </c>
      <c r="G16" s="15"/>
      <c r="H16">
        <f t="shared" si="0"/>
        <v>1900</v>
      </c>
      <c r="I16" s="7">
        <v>2015</v>
      </c>
      <c r="J16" s="7">
        <v>14000</v>
      </c>
      <c r="L16" s="7" t="str">
        <f t="shared" si="3"/>
        <v>Not Found</v>
      </c>
    </row>
    <row r="17" spans="1:12" ht="24.6" customHeight="1" x14ac:dyDescent="0.25">
      <c r="A17" s="13"/>
      <c r="B17" s="14"/>
      <c r="C17" s="14"/>
      <c r="D17" s="15"/>
      <c r="E17" s="5">
        <f t="shared" si="1"/>
        <v>0</v>
      </c>
      <c r="F17" s="5">
        <f t="shared" si="2"/>
        <v>0</v>
      </c>
      <c r="G17" s="15"/>
      <c r="H17">
        <f t="shared" si="0"/>
        <v>1900</v>
      </c>
      <c r="I17" s="7">
        <v>2016</v>
      </c>
      <c r="J17" s="7">
        <v>14000</v>
      </c>
      <c r="L17" s="7" t="str">
        <f t="shared" si="3"/>
        <v>Not Found</v>
      </c>
    </row>
    <row r="18" spans="1:12" ht="24.6" customHeight="1" x14ac:dyDescent="0.25">
      <c r="A18" s="13"/>
      <c r="B18" s="14"/>
      <c r="C18" s="14"/>
      <c r="D18" s="15"/>
      <c r="E18" s="5">
        <f t="shared" si="1"/>
        <v>0</v>
      </c>
      <c r="F18" s="5">
        <f t="shared" si="2"/>
        <v>0</v>
      </c>
      <c r="G18" s="15"/>
      <c r="H18">
        <f t="shared" si="0"/>
        <v>1900</v>
      </c>
      <c r="I18" s="7">
        <v>2017</v>
      </c>
      <c r="J18" s="7">
        <v>14000</v>
      </c>
      <c r="L18" s="7" t="str">
        <f t="shared" si="3"/>
        <v>Not Found</v>
      </c>
    </row>
    <row r="19" spans="1:12" ht="24.6" customHeight="1" x14ac:dyDescent="0.25">
      <c r="A19" s="13"/>
      <c r="B19" s="14"/>
      <c r="C19" s="14"/>
      <c r="D19" s="15"/>
      <c r="E19" s="5">
        <f t="shared" si="1"/>
        <v>0</v>
      </c>
      <c r="F19" s="5">
        <f t="shared" si="2"/>
        <v>0</v>
      </c>
      <c r="G19" s="15"/>
      <c r="H19">
        <f t="shared" si="0"/>
        <v>1900</v>
      </c>
      <c r="I19" s="7">
        <v>2018</v>
      </c>
      <c r="J19" s="7">
        <v>15000</v>
      </c>
      <c r="L19" s="7" t="str">
        <f t="shared" si="3"/>
        <v>Not Found</v>
      </c>
    </row>
    <row r="20" spans="1:12" ht="24.6" customHeight="1" x14ac:dyDescent="0.25">
      <c r="A20" s="13"/>
      <c r="B20" s="14"/>
      <c r="C20" s="14"/>
      <c r="D20" s="15"/>
      <c r="E20" s="5">
        <f t="shared" si="1"/>
        <v>0</v>
      </c>
      <c r="F20" s="5">
        <f t="shared" si="2"/>
        <v>0</v>
      </c>
      <c r="G20" s="15"/>
      <c r="H20">
        <f t="shared" si="0"/>
        <v>1900</v>
      </c>
      <c r="I20" s="7">
        <v>2019</v>
      </c>
      <c r="J20" s="7">
        <v>15000</v>
      </c>
      <c r="L20" s="7" t="str">
        <f t="shared" si="3"/>
        <v>Not Found</v>
      </c>
    </row>
    <row r="21" spans="1:12" ht="24.6" customHeight="1" x14ac:dyDescent="0.25">
      <c r="A21" s="13"/>
      <c r="B21" s="14"/>
      <c r="C21" s="14"/>
      <c r="D21" s="15"/>
      <c r="E21" s="5">
        <f t="shared" si="1"/>
        <v>0</v>
      </c>
      <c r="F21" s="5">
        <f t="shared" si="2"/>
        <v>0</v>
      </c>
      <c r="G21" s="15"/>
      <c r="H21">
        <f t="shared" si="0"/>
        <v>1900</v>
      </c>
      <c r="I21" s="7">
        <v>2020</v>
      </c>
      <c r="J21" s="7">
        <v>15000</v>
      </c>
      <c r="L21" s="7" t="str">
        <f t="shared" si="3"/>
        <v>Not Found</v>
      </c>
    </row>
    <row r="22" spans="1:12" ht="24.6" customHeight="1" x14ac:dyDescent="0.25">
      <c r="A22" s="13"/>
      <c r="B22" s="14"/>
      <c r="C22" s="14"/>
      <c r="D22" s="15"/>
      <c r="E22" s="5">
        <f t="shared" si="1"/>
        <v>0</v>
      </c>
      <c r="F22" s="5">
        <f t="shared" si="2"/>
        <v>0</v>
      </c>
      <c r="G22" s="15"/>
      <c r="H22">
        <f t="shared" si="0"/>
        <v>1900</v>
      </c>
      <c r="I22" s="7">
        <v>2021</v>
      </c>
      <c r="J22" s="7">
        <v>15000</v>
      </c>
      <c r="L22" s="7" t="str">
        <f t="shared" si="3"/>
        <v>Not Found</v>
      </c>
    </row>
    <row r="23" spans="1:12" ht="24.6" customHeight="1" x14ac:dyDescent="0.25">
      <c r="A23" s="13"/>
      <c r="B23" s="14"/>
      <c r="C23" s="14"/>
      <c r="D23" s="15"/>
      <c r="E23" s="5">
        <f t="shared" si="1"/>
        <v>0</v>
      </c>
      <c r="F23" s="5">
        <f t="shared" si="2"/>
        <v>0</v>
      </c>
      <c r="G23" s="15"/>
      <c r="H23">
        <f t="shared" si="0"/>
        <v>1900</v>
      </c>
      <c r="I23" s="7">
        <v>2022</v>
      </c>
      <c r="J23" s="7">
        <v>16000</v>
      </c>
      <c r="L23" s="7" t="str">
        <f t="shared" si="3"/>
        <v>Not Found</v>
      </c>
    </row>
    <row r="24" spans="1:12" ht="24.6" customHeight="1" x14ac:dyDescent="0.25">
      <c r="A24" s="13"/>
      <c r="B24" s="14"/>
      <c r="C24" s="14"/>
      <c r="D24" s="15"/>
      <c r="E24" s="5">
        <f t="shared" si="1"/>
        <v>0</v>
      </c>
      <c r="F24" s="5">
        <f t="shared" si="2"/>
        <v>0</v>
      </c>
      <c r="G24" s="15"/>
      <c r="H24">
        <f t="shared" si="0"/>
        <v>1900</v>
      </c>
      <c r="I24" s="7">
        <v>2023</v>
      </c>
      <c r="J24" s="7">
        <v>17000</v>
      </c>
      <c r="L24" s="7" t="str">
        <f t="shared" si="3"/>
        <v>Not Found</v>
      </c>
    </row>
    <row r="25" spans="1:12" ht="24.6" customHeight="1" x14ac:dyDescent="0.25">
      <c r="A25" s="13"/>
      <c r="B25" s="14"/>
      <c r="C25" s="14"/>
      <c r="D25" s="15"/>
      <c r="E25" s="5">
        <f t="shared" si="1"/>
        <v>0</v>
      </c>
      <c r="F25" s="5">
        <f t="shared" si="2"/>
        <v>0</v>
      </c>
      <c r="G25" s="15"/>
      <c r="H25">
        <f t="shared" si="0"/>
        <v>1900</v>
      </c>
      <c r="I25" s="7">
        <v>2024</v>
      </c>
      <c r="J25" s="7">
        <v>18000</v>
      </c>
      <c r="L25" s="7" t="str">
        <f t="shared" si="3"/>
        <v>Not Found</v>
      </c>
    </row>
    <row r="26" spans="1:12" ht="24.6" customHeight="1" x14ac:dyDescent="0.25">
      <c r="A26" s="13"/>
      <c r="B26" s="14"/>
      <c r="C26" s="14"/>
      <c r="D26" s="15"/>
      <c r="E26" s="5">
        <f t="shared" si="1"/>
        <v>0</v>
      </c>
      <c r="F26" s="5">
        <f t="shared" si="2"/>
        <v>0</v>
      </c>
      <c r="G26" s="15"/>
      <c r="H26">
        <f t="shared" si="0"/>
        <v>1900</v>
      </c>
      <c r="I26" s="7">
        <v>2025</v>
      </c>
      <c r="J26" s="7">
        <v>19000</v>
      </c>
      <c r="L26" s="7" t="str">
        <f t="shared" si="3"/>
        <v>Not Found</v>
      </c>
    </row>
    <row r="27" spans="1:12" ht="24.6" customHeight="1" x14ac:dyDescent="0.25">
      <c r="A27" s="13"/>
      <c r="B27" s="14"/>
      <c r="C27" s="14"/>
      <c r="D27" s="15"/>
      <c r="E27" s="5">
        <f t="shared" si="1"/>
        <v>0</v>
      </c>
      <c r="F27" s="5">
        <f t="shared" si="2"/>
        <v>0</v>
      </c>
      <c r="G27" s="15"/>
      <c r="H27">
        <f t="shared" si="0"/>
        <v>1900</v>
      </c>
      <c r="I27" s="7">
        <v>2026</v>
      </c>
      <c r="L27" s="7" t="str">
        <f t="shared" si="3"/>
        <v>Not Found</v>
      </c>
    </row>
    <row r="28" spans="1:12" ht="24.6" customHeight="1" x14ac:dyDescent="0.25">
      <c r="A28" s="13"/>
      <c r="B28" s="14"/>
      <c r="C28" s="14"/>
      <c r="D28" s="15"/>
      <c r="E28" s="5">
        <f t="shared" si="1"/>
        <v>0</v>
      </c>
      <c r="F28" s="5">
        <f t="shared" si="2"/>
        <v>0</v>
      </c>
      <c r="G28" s="15"/>
      <c r="H28">
        <f t="shared" si="0"/>
        <v>1900</v>
      </c>
      <c r="I28" s="7">
        <v>2027</v>
      </c>
    </row>
    <row r="29" spans="1:12" ht="24.6" customHeight="1" x14ac:dyDescent="0.25">
      <c r="A29" s="13"/>
      <c r="B29" s="14"/>
      <c r="C29" s="14"/>
      <c r="D29" s="15"/>
      <c r="E29" s="5">
        <f t="shared" si="1"/>
        <v>0</v>
      </c>
      <c r="F29" s="5">
        <f t="shared" si="2"/>
        <v>0</v>
      </c>
      <c r="G29" s="15"/>
      <c r="H29">
        <f t="shared" si="0"/>
        <v>1900</v>
      </c>
      <c r="I29" s="7">
        <v>2028</v>
      </c>
    </row>
    <row r="30" spans="1:12" ht="24.6" customHeight="1" x14ac:dyDescent="0.25">
      <c r="A30" s="13"/>
      <c r="B30" s="14"/>
      <c r="C30" s="14"/>
      <c r="D30" s="15"/>
      <c r="E30" s="5">
        <f t="shared" si="1"/>
        <v>0</v>
      </c>
      <c r="F30" s="5">
        <f t="shared" si="2"/>
        <v>0</v>
      </c>
      <c r="G30" s="15"/>
      <c r="H30">
        <f t="shared" si="0"/>
        <v>1900</v>
      </c>
      <c r="I30" s="7">
        <v>2029</v>
      </c>
    </row>
    <row r="31" spans="1:12" ht="24.6" customHeight="1" x14ac:dyDescent="0.25">
      <c r="A31" s="13"/>
      <c r="B31" s="14"/>
      <c r="C31" s="14"/>
      <c r="D31" s="15"/>
      <c r="E31" s="5">
        <f t="shared" si="1"/>
        <v>0</v>
      </c>
      <c r="F31" s="5">
        <f t="shared" si="2"/>
        <v>0</v>
      </c>
      <c r="G31" s="15"/>
      <c r="H31">
        <f t="shared" si="0"/>
        <v>1900</v>
      </c>
      <c r="I31" s="7">
        <v>2030</v>
      </c>
    </row>
    <row r="32" spans="1:12" ht="24.6" customHeight="1" x14ac:dyDescent="0.25">
      <c r="A32" s="13"/>
      <c r="B32" s="14"/>
      <c r="C32" s="14"/>
      <c r="D32" s="15"/>
      <c r="E32" s="5">
        <f t="shared" si="1"/>
        <v>0</v>
      </c>
      <c r="F32" s="5">
        <f t="shared" si="2"/>
        <v>0</v>
      </c>
      <c r="G32" s="15"/>
      <c r="H32">
        <f t="shared" si="0"/>
        <v>1900</v>
      </c>
      <c r="I32" s="7">
        <v>2031</v>
      </c>
    </row>
    <row r="33" spans="1:9" ht="24.6" customHeight="1" x14ac:dyDescent="0.25">
      <c r="A33" s="13"/>
      <c r="B33" s="14"/>
      <c r="C33" s="14"/>
      <c r="D33" s="15"/>
      <c r="E33" s="5">
        <f t="shared" si="1"/>
        <v>0</v>
      </c>
      <c r="F33" s="5">
        <f t="shared" si="2"/>
        <v>0</v>
      </c>
      <c r="G33" s="15"/>
      <c r="H33">
        <f t="shared" si="0"/>
        <v>1900</v>
      </c>
      <c r="I33" s="7">
        <v>2031</v>
      </c>
    </row>
    <row r="34" spans="1:9" ht="24.6" customHeight="1" x14ac:dyDescent="0.25">
      <c r="A34" s="13"/>
      <c r="B34" s="14"/>
      <c r="C34" s="14"/>
      <c r="D34" s="15"/>
      <c r="E34" s="5">
        <f t="shared" si="1"/>
        <v>0</v>
      </c>
      <c r="F34" s="5">
        <f t="shared" si="2"/>
        <v>0</v>
      </c>
      <c r="G34" s="15"/>
      <c r="H34">
        <f t="shared" si="0"/>
        <v>1900</v>
      </c>
      <c r="I34" s="7">
        <v>2033</v>
      </c>
    </row>
    <row r="35" spans="1:9" x14ac:dyDescent="0.25">
      <c r="A35" s="2"/>
      <c r="B35" s="3"/>
      <c r="C35" s="3"/>
      <c r="D35" s="4"/>
      <c r="E35" s="4"/>
      <c r="F35" s="4"/>
      <c r="G35" s="4"/>
      <c r="H35" s="4"/>
    </row>
    <row r="36" spans="1:9" x14ac:dyDescent="0.25">
      <c r="A36" s="2"/>
      <c r="B36" s="3"/>
      <c r="C36" s="3"/>
      <c r="D36" s="4"/>
      <c r="E36" s="4"/>
      <c r="F36" s="4"/>
      <c r="G36" s="4"/>
      <c r="H36" s="4"/>
    </row>
    <row r="37" spans="1:9" x14ac:dyDescent="0.25">
      <c r="A37" s="2"/>
      <c r="B37" s="3"/>
      <c r="C37" s="3"/>
      <c r="D37" s="4"/>
      <c r="E37" s="4"/>
      <c r="F37" s="4"/>
      <c r="G37" s="4"/>
      <c r="H37" s="4"/>
    </row>
    <row r="38" spans="1:9" x14ac:dyDescent="0.25">
      <c r="A38" s="2"/>
      <c r="B38" s="3"/>
      <c r="C38" s="3"/>
      <c r="D38" s="4"/>
      <c r="E38" s="4"/>
      <c r="F38" s="4"/>
      <c r="G38" s="4"/>
      <c r="H38" s="4"/>
    </row>
    <row r="39" spans="1:9" x14ac:dyDescent="0.25">
      <c r="A39" s="2"/>
      <c r="B39" s="3"/>
      <c r="C39" s="3"/>
      <c r="D39" s="4"/>
      <c r="E39" s="4"/>
      <c r="F39" s="4"/>
      <c r="G39" s="4"/>
      <c r="H39" s="4"/>
    </row>
    <row r="40" spans="1:9" x14ac:dyDescent="0.25">
      <c r="A40" s="2"/>
      <c r="B40" s="3"/>
      <c r="C40" s="3"/>
      <c r="D40" s="4"/>
      <c r="E40" s="4"/>
      <c r="F40" s="4"/>
      <c r="G40" s="4"/>
      <c r="H40" s="4"/>
    </row>
    <row r="41" spans="1:9" x14ac:dyDescent="0.25">
      <c r="A41" s="2"/>
      <c r="B41" s="3"/>
      <c r="C41" s="3"/>
      <c r="D41" s="4"/>
      <c r="E41" s="4"/>
      <c r="F41" s="4"/>
      <c r="G41" s="4"/>
      <c r="H41" s="4"/>
    </row>
    <row r="42" spans="1:9" x14ac:dyDescent="0.25">
      <c r="A42" s="2"/>
      <c r="B42" s="3"/>
      <c r="C42" s="3"/>
      <c r="D42" s="4"/>
      <c r="E42" s="4"/>
      <c r="F42" s="4"/>
      <c r="G42" s="4"/>
      <c r="H42" s="4"/>
    </row>
    <row r="43" spans="1:9" x14ac:dyDescent="0.25">
      <c r="A43" s="2"/>
      <c r="B43" s="3"/>
      <c r="C43" s="3"/>
      <c r="D43" s="4"/>
      <c r="E43" s="4"/>
      <c r="F43" s="4"/>
      <c r="G43" s="4"/>
      <c r="H43" s="4"/>
    </row>
    <row r="44" spans="1:9" x14ac:dyDescent="0.25">
      <c r="A44" s="2"/>
      <c r="B44" s="3"/>
      <c r="C44" s="3"/>
      <c r="D44" s="4"/>
      <c r="E44" s="4"/>
      <c r="F44" s="4"/>
      <c r="G44" s="4"/>
      <c r="H44" s="4"/>
    </row>
    <row r="45" spans="1:9" x14ac:dyDescent="0.25">
      <c r="A45" s="2"/>
      <c r="B45" s="3"/>
      <c r="C45" s="3"/>
      <c r="D45" s="4"/>
      <c r="E45" s="4"/>
      <c r="F45" s="4"/>
      <c r="G45" s="4"/>
      <c r="H45" s="4"/>
    </row>
    <row r="46" spans="1:9" x14ac:dyDescent="0.25">
      <c r="A46" s="2"/>
      <c r="B46" s="3"/>
      <c r="C46" s="3"/>
      <c r="D46" s="4"/>
      <c r="E46" s="4"/>
      <c r="F46" s="4"/>
      <c r="G46" s="4"/>
      <c r="H46" s="4"/>
    </row>
  </sheetData>
  <mergeCells count="1">
    <mergeCell ref="B1:E1"/>
  </mergeCells>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E5118-C299-4620-B168-4752EA70C30E}">
  <dimension ref="A1:BN153"/>
  <sheetViews>
    <sheetView showGridLines="0" topLeftCell="A7" zoomScale="124" zoomScaleNormal="124" workbookViewId="0">
      <selection activeCell="C14" sqref="C14"/>
    </sheetView>
  </sheetViews>
  <sheetFormatPr defaultRowHeight="15" x14ac:dyDescent="0.25"/>
  <cols>
    <col min="1" max="1" width="19.5703125" customWidth="1"/>
    <col min="2" max="2" width="11" customWidth="1"/>
    <col min="3" max="3" width="18.140625" customWidth="1"/>
    <col min="4" max="4" width="25.42578125" customWidth="1"/>
    <col min="5" max="5" width="18" customWidth="1"/>
    <col min="6" max="6" width="19.7109375" customWidth="1"/>
    <col min="7" max="7" width="19.7109375" hidden="1" customWidth="1"/>
    <col min="8" max="8" width="9.140625" style="7" hidden="1" customWidth="1"/>
    <col min="9" max="9" width="11.140625" hidden="1" customWidth="1"/>
    <col min="10" max="10" width="9.140625" hidden="1" customWidth="1"/>
    <col min="11" max="11" width="12.85546875" hidden="1" customWidth="1"/>
    <col min="12" max="12" width="12.85546875" style="7" hidden="1" customWidth="1"/>
    <col min="13" max="13" width="6.85546875" style="44" hidden="1" customWidth="1"/>
    <col min="14" max="14" width="5" style="44" customWidth="1"/>
    <col min="15" max="15" width="5.28515625" style="20" customWidth="1"/>
    <col min="16" max="16" width="13.42578125" style="7" customWidth="1"/>
    <col min="17" max="17" width="12.28515625" style="7" customWidth="1"/>
    <col min="18" max="18" width="9.28515625" style="7" customWidth="1"/>
    <col min="19" max="19" width="9.7109375" style="7" customWidth="1"/>
    <col min="20" max="20" width="9.140625" style="7" hidden="1" customWidth="1"/>
    <col min="21" max="21" width="32.140625" style="7" hidden="1" customWidth="1"/>
    <col min="22" max="22" width="13.42578125" style="7" hidden="1" customWidth="1"/>
    <col min="23" max="23" width="9.140625" style="7" hidden="1" customWidth="1"/>
    <col min="24" max="24" width="16" style="7" hidden="1" customWidth="1"/>
    <col min="25" max="27" width="9.140625" style="7" hidden="1" customWidth="1"/>
    <col min="28" max="28" width="5.28515625" style="7" customWidth="1"/>
    <col min="29" max="29" width="9.140625" style="7" customWidth="1"/>
    <col min="30" max="30" width="12.28515625" style="7" customWidth="1"/>
    <col min="31" max="31" width="11.85546875" style="7" customWidth="1"/>
    <col min="32" max="32" width="12.7109375" style="7" customWidth="1"/>
    <col min="33" max="33" width="11.28515625" style="7" customWidth="1"/>
    <col min="34" max="34" width="10.28515625" style="7" customWidth="1"/>
    <col min="35" max="35" width="14.5703125" style="7" hidden="1" customWidth="1"/>
    <col min="36" max="36" width="10.42578125" style="7" hidden="1" customWidth="1"/>
    <col min="37" max="37" width="12" style="7" hidden="1" customWidth="1"/>
    <col min="38" max="43" width="9.140625" style="7" hidden="1" customWidth="1"/>
    <col min="44" max="44" width="12.85546875" style="7" hidden="1" customWidth="1"/>
    <col min="45" max="45" width="11.28515625" style="7" hidden="1" customWidth="1"/>
    <col min="46" max="53" width="9.140625" style="7" hidden="1" customWidth="1"/>
    <col min="54" max="56" width="9.140625" style="20" hidden="1" customWidth="1"/>
    <col min="57" max="57" width="9.140625" style="7" hidden="1" customWidth="1"/>
    <col min="58" max="58" width="9.140625" style="7" customWidth="1"/>
  </cols>
  <sheetData>
    <row r="1" spans="1:66" ht="15.75" thickBot="1" x14ac:dyDescent="0.3">
      <c r="AU1" s="45">
        <v>0</v>
      </c>
      <c r="AV1" s="45" t="s">
        <v>65</v>
      </c>
      <c r="AW1" s="45" t="s">
        <v>66</v>
      </c>
      <c r="AX1" s="45" t="s">
        <v>67</v>
      </c>
      <c r="AY1" s="45" t="s">
        <v>68</v>
      </c>
      <c r="BA1" s="201" t="s">
        <v>163</v>
      </c>
      <c r="BB1" s="201"/>
      <c r="BC1" s="201"/>
      <c r="BD1" s="201"/>
      <c r="BE1" s="81"/>
      <c r="BF1" s="81"/>
      <c r="BG1" s="81"/>
      <c r="BH1" s="81"/>
      <c r="BI1" s="81"/>
      <c r="BJ1" s="81"/>
      <c r="BK1" s="81"/>
      <c r="BL1" s="20"/>
      <c r="BM1" s="81"/>
      <c r="BN1" s="202">
        <v>0.32</v>
      </c>
    </row>
    <row r="2" spans="1:66" ht="29.25" customHeight="1" thickBot="1" x14ac:dyDescent="0.55000000000000004">
      <c r="A2" s="203" t="s">
        <v>69</v>
      </c>
      <c r="B2" s="204"/>
      <c r="C2" s="205"/>
      <c r="D2" s="205"/>
      <c r="E2" s="205"/>
      <c r="F2" s="291">
        <v>2025</v>
      </c>
      <c r="G2" s="46"/>
      <c r="H2" s="46"/>
      <c r="I2" s="47"/>
      <c r="O2" s="20" t="s">
        <v>45</v>
      </c>
      <c r="P2" s="206" t="s">
        <v>95</v>
      </c>
      <c r="Q2" s="207"/>
      <c r="R2" s="207"/>
      <c r="S2" s="208"/>
      <c r="T2" s="7" t="s">
        <v>71</v>
      </c>
      <c r="U2" s="7" t="s">
        <v>72</v>
      </c>
      <c r="V2" s="19">
        <f>C16+C15+C14</f>
        <v>0</v>
      </c>
      <c r="AB2"/>
      <c r="AC2"/>
      <c r="AD2"/>
      <c r="AE2"/>
      <c r="AF2"/>
      <c r="AG2"/>
      <c r="AH2"/>
      <c r="AI2"/>
      <c r="AJ2"/>
      <c r="AK2"/>
      <c r="AL2"/>
      <c r="AM2"/>
      <c r="AN2"/>
      <c r="AO2"/>
      <c r="AP2"/>
      <c r="AQ2"/>
      <c r="AU2" s="45">
        <v>2025</v>
      </c>
      <c r="AV2" s="45">
        <v>15750</v>
      </c>
      <c r="AW2" s="45">
        <v>31500</v>
      </c>
      <c r="AX2" s="45">
        <v>15750</v>
      </c>
      <c r="AY2" s="45">
        <v>23625</v>
      </c>
      <c r="BA2" s="209"/>
      <c r="BB2" s="209"/>
      <c r="BC2" s="209"/>
      <c r="BD2" s="209"/>
      <c r="BE2" s="109"/>
      <c r="BF2" s="109"/>
      <c r="BG2" s="109"/>
      <c r="BH2" s="20"/>
      <c r="BI2" s="20"/>
      <c r="BJ2" s="20"/>
      <c r="BK2" s="20"/>
      <c r="BL2" s="20"/>
      <c r="BM2" s="81"/>
      <c r="BN2" s="202">
        <v>0.35</v>
      </c>
    </row>
    <row r="3" spans="1:66" ht="20.100000000000001" customHeight="1" x14ac:dyDescent="0.3">
      <c r="A3" s="48" t="s">
        <v>73</v>
      </c>
      <c r="B3" s="210"/>
      <c r="C3" s="211"/>
      <c r="D3" s="171" t="s">
        <v>74</v>
      </c>
      <c r="E3" s="172"/>
      <c r="F3" s="49"/>
      <c r="L3" s="50">
        <f>2025-YEAR(C4)</f>
        <v>125</v>
      </c>
      <c r="N3" s="51"/>
      <c r="O3" s="44">
        <f>IF(L3&gt;100,0,L3)</f>
        <v>0</v>
      </c>
      <c r="P3" s="20" t="s">
        <v>70</v>
      </c>
      <c r="Q3" s="20"/>
      <c r="T3" s="7" t="s">
        <v>75</v>
      </c>
      <c r="U3" s="7" t="s">
        <v>76</v>
      </c>
      <c r="V3" s="7">
        <v>0</v>
      </c>
      <c r="AB3"/>
      <c r="AC3" s="293" t="s">
        <v>77</v>
      </c>
      <c r="AD3" s="294"/>
      <c r="AE3" s="294"/>
      <c r="AF3" s="294"/>
      <c r="AG3" s="295"/>
      <c r="AH3" s="212"/>
      <c r="AI3" s="213"/>
      <c r="AJ3" s="213"/>
      <c r="AK3" s="214"/>
      <c r="AL3" s="215"/>
      <c r="AM3"/>
      <c r="AN3"/>
      <c r="AO3"/>
      <c r="AP3"/>
      <c r="AQ3"/>
      <c r="AU3" s="45">
        <v>2026</v>
      </c>
      <c r="AV3" s="45">
        <v>16100</v>
      </c>
      <c r="AW3" s="45">
        <v>32200</v>
      </c>
      <c r="AX3" s="45">
        <v>16100</v>
      </c>
      <c r="AY3" s="45">
        <v>24150</v>
      </c>
      <c r="BA3" s="216" t="str">
        <f>D18</f>
        <v>Adjusted Gross Income (AGI)</v>
      </c>
      <c r="BB3" s="216"/>
      <c r="BC3" s="216"/>
      <c r="BD3" s="217">
        <f>F18</f>
        <v>0</v>
      </c>
      <c r="BE3" s="109"/>
      <c r="BF3" s="109"/>
      <c r="BG3" s="109"/>
      <c r="BH3" s="20"/>
      <c r="BI3" s="20"/>
      <c r="BJ3" s="20"/>
      <c r="BK3" s="20"/>
      <c r="BL3" s="20"/>
      <c r="BM3" s="81"/>
      <c r="BN3" s="202">
        <v>0.37</v>
      </c>
    </row>
    <row r="4" spans="1:66" ht="20.100000000000001" customHeight="1" x14ac:dyDescent="0.25">
      <c r="A4" s="218" t="s">
        <v>78</v>
      </c>
      <c r="B4" s="219"/>
      <c r="C4" s="52"/>
      <c r="D4" s="173" t="s">
        <v>79</v>
      </c>
      <c r="E4" s="174"/>
      <c r="F4" s="53"/>
      <c r="L4" s="50">
        <f>2025-YEAR(C5)</f>
        <v>125</v>
      </c>
      <c r="M4" s="51"/>
      <c r="N4" s="51"/>
      <c r="O4" s="44">
        <f>IF(L4&gt;100,0,L4)</f>
        <v>0</v>
      </c>
      <c r="P4" s="167" t="s">
        <v>126</v>
      </c>
      <c r="Q4" s="168"/>
      <c r="R4" s="169">
        <f>F18</f>
        <v>0</v>
      </c>
      <c r="S4" s="170"/>
      <c r="T4" s="7" t="s">
        <v>80</v>
      </c>
      <c r="U4" s="7" t="s">
        <v>81</v>
      </c>
      <c r="V4" s="7">
        <v>0</v>
      </c>
      <c r="AB4"/>
      <c r="AC4" s="54"/>
      <c r="AD4"/>
      <c r="AE4"/>
      <c r="AF4"/>
      <c r="AG4"/>
      <c r="AH4"/>
      <c r="AI4"/>
      <c r="AJ4"/>
      <c r="AK4"/>
      <c r="AL4"/>
      <c r="AM4"/>
      <c r="AN4"/>
      <c r="AO4"/>
      <c r="AP4"/>
      <c r="AQ4"/>
      <c r="AU4" s="45">
        <v>2024</v>
      </c>
      <c r="AV4" s="45">
        <v>14600</v>
      </c>
      <c r="AW4" s="45">
        <v>29200</v>
      </c>
      <c r="AX4" s="45">
        <v>14600</v>
      </c>
      <c r="AY4" s="45">
        <v>21900</v>
      </c>
      <c r="BA4" s="216" t="s">
        <v>166</v>
      </c>
      <c r="BB4" s="216"/>
      <c r="BC4" s="216"/>
      <c r="BD4" s="217">
        <f>MIN(AR31,AR32)+MIN(AR31,AS32)</f>
        <v>0</v>
      </c>
      <c r="BE4" s="109"/>
      <c r="BF4" s="109"/>
      <c r="BG4" s="109"/>
      <c r="BH4" s="20"/>
      <c r="BI4" s="20"/>
      <c r="BJ4" s="20"/>
      <c r="BK4" s="20"/>
      <c r="BL4" s="20"/>
      <c r="BM4" s="81"/>
      <c r="BN4" s="202">
        <v>0.1</v>
      </c>
    </row>
    <row r="5" spans="1:66" ht="20.100000000000001" customHeight="1" x14ac:dyDescent="0.25">
      <c r="A5" s="218" t="s">
        <v>82</v>
      </c>
      <c r="B5" s="219"/>
      <c r="C5" s="52"/>
      <c r="D5" s="173" t="s">
        <v>83</v>
      </c>
      <c r="E5" s="174"/>
      <c r="F5" s="292" t="s">
        <v>66</v>
      </c>
      <c r="G5" s="55" t="s">
        <v>84</v>
      </c>
      <c r="H5" s="56">
        <f>IF(G5="Jan",12,IF(G5="Feb",11,IF(G5="Mar",10,IF(G5="Apr",9,IF(G5="May",8,IF(G5="June",7,IF(G5="July",6,IF(G5="Aug",5,IF(G5="Sep",4,IF(G5="Oct",3,IF(G5="Nov",2,IF(G5="Dec",1,""))))))))))))</f>
        <v>8</v>
      </c>
      <c r="P5" s="20" t="s">
        <v>85</v>
      </c>
      <c r="T5" s="7" t="s">
        <v>86</v>
      </c>
      <c r="U5" s="7" t="s">
        <v>87</v>
      </c>
      <c r="V5" s="57">
        <f>F18</f>
        <v>0</v>
      </c>
      <c r="AB5"/>
      <c r="AC5" s="296" t="s">
        <v>88</v>
      </c>
      <c r="AD5" s="297" t="str">
        <f>F5</f>
        <v>MFJ</v>
      </c>
      <c r="AE5" s="298"/>
      <c r="AF5" s="299" t="s">
        <v>199</v>
      </c>
      <c r="AG5" s="299">
        <f>F2</f>
        <v>2025</v>
      </c>
      <c r="AH5"/>
      <c r="AI5"/>
      <c r="AJ5"/>
      <c r="AK5"/>
      <c r="AL5"/>
      <c r="AM5"/>
      <c r="AN5"/>
      <c r="AO5"/>
      <c r="AP5" t="s">
        <v>89</v>
      </c>
      <c r="AQ5"/>
      <c r="BA5" s="216" t="s">
        <v>168</v>
      </c>
      <c r="BB5" s="216"/>
      <c r="BC5" s="216"/>
      <c r="BD5" s="220"/>
      <c r="BE5" s="109"/>
      <c r="BF5" s="109"/>
      <c r="BG5" s="109"/>
      <c r="BH5" s="20"/>
      <c r="BI5" s="20"/>
      <c r="BJ5" s="20"/>
      <c r="BK5" s="20"/>
      <c r="BL5" s="20"/>
      <c r="BM5" s="81"/>
      <c r="BN5" s="202">
        <v>0.12</v>
      </c>
    </row>
    <row r="6" spans="1:66" ht="27.75" customHeight="1" thickBot="1" x14ac:dyDescent="0.3">
      <c r="A6" s="221" t="s">
        <v>90</v>
      </c>
      <c r="B6" s="222"/>
      <c r="C6" s="223" t="s">
        <v>200</v>
      </c>
      <c r="D6" s="224" t="s">
        <v>91</v>
      </c>
      <c r="E6" s="225"/>
      <c r="F6" s="223" t="s">
        <v>92</v>
      </c>
      <c r="G6" s="58" t="s">
        <v>93</v>
      </c>
      <c r="K6" s="59" t="s">
        <v>94</v>
      </c>
      <c r="L6" s="60"/>
      <c r="P6" s="167" t="s">
        <v>133</v>
      </c>
      <c r="Q6" s="168"/>
      <c r="R6" s="169">
        <f>IF(F47&lt;0,0,F47)</f>
        <v>0</v>
      </c>
      <c r="S6" s="170"/>
      <c r="T6" s="7" t="s">
        <v>96</v>
      </c>
      <c r="U6" s="7" t="s">
        <v>97</v>
      </c>
      <c r="V6" s="7">
        <f>IF(F5="Single",197300,IF(F5="MFJ",394600,IF(F5="MFS",197300,IF(F5="HH",197300,13850))))</f>
        <v>394600</v>
      </c>
      <c r="AB6"/>
      <c r="AC6"/>
      <c r="AD6"/>
      <c r="AE6"/>
      <c r="AF6"/>
      <c r="AG6"/>
      <c r="AH6"/>
      <c r="AI6"/>
      <c r="AJ6"/>
      <c r="AK6" s="44"/>
      <c r="AL6" s="44"/>
      <c r="AM6"/>
      <c r="AN6"/>
      <c r="AO6"/>
      <c r="AP6"/>
      <c r="AQ6"/>
      <c r="BA6" s="216" t="s">
        <v>169</v>
      </c>
      <c r="BB6" s="216"/>
      <c r="BC6" s="216"/>
      <c r="BD6" s="217">
        <f>F56</f>
        <v>0</v>
      </c>
      <c r="BE6" s="109"/>
      <c r="BF6" s="109"/>
      <c r="BG6" s="109"/>
      <c r="BH6" s="20"/>
      <c r="BI6" s="20"/>
      <c r="BJ6" s="20"/>
      <c r="BK6" s="20"/>
      <c r="BL6" s="20"/>
      <c r="BM6" s="81"/>
      <c r="BN6" s="202">
        <v>0.22</v>
      </c>
    </row>
    <row r="7" spans="1:66" ht="20.100000000000001" customHeight="1" thickBot="1" x14ac:dyDescent="0.3">
      <c r="A7" s="226" t="s">
        <v>98</v>
      </c>
      <c r="B7" s="149"/>
      <c r="C7" s="61"/>
      <c r="D7" s="160" t="s">
        <v>99</v>
      </c>
      <c r="E7" s="162"/>
      <c r="F7" s="62"/>
      <c r="G7" s="63">
        <f>C7*$H$5</f>
        <v>0</v>
      </c>
      <c r="K7" s="64" t="s">
        <v>100</v>
      </c>
      <c r="L7" s="65" t="s">
        <v>101</v>
      </c>
      <c r="M7" s="20"/>
      <c r="T7" s="7" t="s">
        <v>102</v>
      </c>
      <c r="U7" s="7" t="s">
        <v>103</v>
      </c>
      <c r="V7" s="7">
        <f>IF(F5="Single",247300,IF(F5="MFJ",494600,IF(F5="MFS",247300,IF(F5="HH",247300,13850))))</f>
        <v>494600</v>
      </c>
      <c r="W7" s="66"/>
      <c r="AB7"/>
      <c r="AC7" s="67" t="s">
        <v>104</v>
      </c>
      <c r="AD7" s="67" t="s">
        <v>105</v>
      </c>
      <c r="AE7" s="67" t="s">
        <v>106</v>
      </c>
      <c r="AF7" s="67" t="s">
        <v>107</v>
      </c>
      <c r="AG7" s="67" t="s">
        <v>108</v>
      </c>
      <c r="AH7"/>
      <c r="AI7" s="68" t="s">
        <v>109</v>
      </c>
      <c r="AJ7" s="69" cm="1">
        <f t="array" ref="AJ7:AK7">'Tax Estimator'!R6:S6</f>
        <v>0</v>
      </c>
      <c r="AK7" s="44">
        <v>0</v>
      </c>
      <c r="AL7" s="44"/>
      <c r="AM7"/>
      <c r="AN7"/>
      <c r="AO7"/>
      <c r="AP7" s="70" t="s">
        <v>107</v>
      </c>
      <c r="AQ7"/>
      <c r="AS7"/>
      <c r="BA7" s="216" t="s">
        <v>171</v>
      </c>
      <c r="BB7" s="216"/>
      <c r="BC7" s="216"/>
      <c r="BD7" s="217">
        <f>BD3-SUM(BD4:BD6)</f>
        <v>0</v>
      </c>
      <c r="BE7" s="109"/>
      <c r="BF7" s="109"/>
      <c r="BG7" s="109"/>
      <c r="BH7" s="20"/>
      <c r="BI7" s="20"/>
      <c r="BJ7" s="20"/>
      <c r="BK7" s="20"/>
      <c r="BL7" s="20"/>
      <c r="BM7" s="81"/>
      <c r="BN7" s="202">
        <v>0.24</v>
      </c>
    </row>
    <row r="8" spans="1:66" ht="20.100000000000001" customHeight="1" thickBot="1" x14ac:dyDescent="0.3">
      <c r="A8" s="226" t="s">
        <v>201</v>
      </c>
      <c r="B8" s="149"/>
      <c r="C8" s="61"/>
      <c r="D8" s="160" t="s">
        <v>110</v>
      </c>
      <c r="E8" s="162"/>
      <c r="F8" s="62"/>
      <c r="G8" s="63">
        <f>C8*$H$5</f>
        <v>0</v>
      </c>
      <c r="K8" s="64" t="s">
        <v>66</v>
      </c>
      <c r="L8" s="71">
        <v>250000</v>
      </c>
      <c r="M8" s="20"/>
      <c r="P8" s="167" t="s">
        <v>139</v>
      </c>
      <c r="Q8" s="168"/>
      <c r="R8" s="169">
        <f>F56</f>
        <v>0</v>
      </c>
      <c r="S8" s="170"/>
      <c r="T8" s="7" t="s">
        <v>111</v>
      </c>
      <c r="U8" s="7" t="s">
        <v>112</v>
      </c>
      <c r="V8" s="7">
        <f>V7-V6</f>
        <v>100000</v>
      </c>
      <c r="AB8"/>
      <c r="AC8" s="69" cm="1">
        <f t="array" ref="AC8:AE14">_xlfn.CHOOSECOLS(_xlfn._xlws.FILTER(tax_table,_xlfn.CHOOSECOLS(tax_table,-1)=F2),_xlfn.XMATCH(AD5,status_list)*2,_xlfn.XMATCH(AD5,status_list)*2+1,1)</f>
        <v>0</v>
      </c>
      <c r="AD8" s="69">
        <v>23850</v>
      </c>
      <c r="AE8" s="72">
        <v>0.1</v>
      </c>
      <c r="AF8" s="69" cm="1">
        <f t="array" ref="AF8:AF14">_xlfn.LET(
  _xlpm.income,AJ7,
  _xlpm.upper,AD8:AD14,
  _xlpm.lower,_xlfn.DROP(_xlfn.VSTACK(0,_xlpm.upper),-1),
  IF(_xlpm.income&lt;=_xlpm.lower,0,
    IF(_xlpm.income&gt;_xlpm.upper,_xlpm.upper-_xlpm.lower,_xlpm.income-_xlpm.lower))
)</f>
        <v>0</v>
      </c>
      <c r="AG8" s="69" cm="1">
        <f t="array" ref="AG8:AG14">AE8:AE14*AF8:AF14</f>
        <v>0</v>
      </c>
      <c r="AH8"/>
      <c r="AI8" s="68" t="s">
        <v>108</v>
      </c>
      <c r="AJ8" s="69" cm="1">
        <f t="array" ref="AJ8">_xlfn.LET(
  _xlpm.income,AJ7,
  _xlpm.tax_rates, AE8:AE14,
  _xlpm.upper,AD8:AD14,
  _xlpm.lower,_xlfn.DROP(_xlfn.VSTACK(0,_xlpm.upper),-1),
  _xlpm.income_by_bracket,IF(_xlpm.income&lt;=_xlpm.lower,0,
    IF(_xlpm.income&gt;_xlpm.upper,_xlpm.upper-_xlpm.lower,_xlpm.income-_xlpm.lower)),
  _xlpm.tax_by_bracket,_xlpm.income_by_bracket*_xlpm.tax_rates,
  SUM(_xlpm.tax_by_bracket)
)</f>
        <v>0</v>
      </c>
      <c r="AK8" s="44"/>
      <c r="AL8" s="44"/>
      <c r="AM8"/>
      <c r="AN8"/>
      <c r="AO8"/>
      <c r="AP8" s="69" cm="1">
        <f t="array" ref="AP8:AP14">_xlfn.LET(
  _xlpm.income,AJ7,
  _xlpm.upper,AD8:AD14,
  _xlpm.lower,_xlfn.DROP(_xlfn.VSTACK(0,_xlpm.upper),-1),
  _xlfn.MAP(_xlpm.upper,_xlpm.lower,_xlfn.LAMBDA(_xlpm.a,_xlpm.b,
    IF(_xlpm.income&lt;=_xlpm.b,0,
      IF(_xlpm.income&gt;_xlpm.a,_xlpm.a-_xlpm.b,_xlpm.income-_xlpm.b))
  ))
)</f>
        <v>0</v>
      </c>
      <c r="AQ8"/>
      <c r="BA8" s="81"/>
      <c r="BB8" s="81"/>
      <c r="BC8" s="81"/>
      <c r="BD8" s="217"/>
      <c r="BE8" s="109"/>
      <c r="BF8" s="109"/>
      <c r="BG8" s="109"/>
      <c r="BH8" s="20"/>
      <c r="BI8" s="20"/>
      <c r="BJ8" s="20"/>
      <c r="BK8" s="20"/>
      <c r="BL8" s="20"/>
      <c r="BM8" s="81"/>
      <c r="BN8" s="202">
        <v>0.32</v>
      </c>
    </row>
    <row r="9" spans="1:66" ht="20.100000000000001" customHeight="1" thickBot="1" x14ac:dyDescent="0.3">
      <c r="A9" s="226" t="s">
        <v>113</v>
      </c>
      <c r="B9" s="149"/>
      <c r="C9" s="61"/>
      <c r="D9" s="160" t="s">
        <v>114</v>
      </c>
      <c r="E9" s="162">
        <v>0</v>
      </c>
      <c r="F9" s="62"/>
      <c r="G9" s="63">
        <f t="shared" ref="G9:G15" si="0">C9*$H$5</f>
        <v>0</v>
      </c>
      <c r="K9" s="64" t="s">
        <v>65</v>
      </c>
      <c r="L9" s="71">
        <v>200000</v>
      </c>
      <c r="M9" s="20"/>
      <c r="O9" s="138"/>
      <c r="T9" s="74" t="s">
        <v>115</v>
      </c>
      <c r="U9" s="7" t="s">
        <v>116</v>
      </c>
      <c r="V9" s="7">
        <f>V5-V6</f>
        <v>-394600</v>
      </c>
      <c r="W9" s="74"/>
      <c r="X9" s="74"/>
      <c r="AB9"/>
      <c r="AC9" s="69">
        <v>23851</v>
      </c>
      <c r="AD9" s="69">
        <v>96950</v>
      </c>
      <c r="AE9" s="72">
        <v>0.12</v>
      </c>
      <c r="AF9" s="69">
        <v>0</v>
      </c>
      <c r="AG9" s="69">
        <v>0</v>
      </c>
      <c r="AH9"/>
      <c r="AI9" s="68" t="s">
        <v>117</v>
      </c>
      <c r="AJ9" s="75">
        <f>_xlfn.XLOOKUP(AJ7,AD8:AD14,AE8:AE14,,1)</f>
        <v>0.1</v>
      </c>
      <c r="AK9" s="44"/>
      <c r="AL9" s="76"/>
      <c r="AM9"/>
      <c r="AN9"/>
      <c r="AO9"/>
      <c r="AP9" s="69">
        <v>0</v>
      </c>
      <c r="AQ9"/>
      <c r="AU9" s="7" t="s">
        <v>45</v>
      </c>
      <c r="BA9" s="81"/>
      <c r="BB9" s="81"/>
      <c r="BC9" s="81"/>
      <c r="BD9" s="217"/>
      <c r="BE9" s="109"/>
      <c r="BF9" s="109"/>
      <c r="BG9" s="109"/>
      <c r="BH9" s="20"/>
      <c r="BI9" s="20"/>
      <c r="BJ9" s="20"/>
      <c r="BK9" s="20"/>
      <c r="BL9" s="20"/>
      <c r="BM9" s="81"/>
      <c r="BN9" s="202">
        <v>0.35</v>
      </c>
    </row>
    <row r="10" spans="1:66" ht="20.100000000000001" customHeight="1" thickBot="1" x14ac:dyDescent="0.3">
      <c r="A10" s="226" t="s">
        <v>202</v>
      </c>
      <c r="B10" s="149"/>
      <c r="C10" s="61"/>
      <c r="D10" s="160" t="s">
        <v>118</v>
      </c>
      <c r="E10" s="162"/>
      <c r="F10" s="62"/>
      <c r="G10" s="63">
        <f t="shared" si="0"/>
        <v>0</v>
      </c>
      <c r="K10" s="64" t="s">
        <v>68</v>
      </c>
      <c r="L10" s="71">
        <v>200000</v>
      </c>
      <c r="M10" s="20"/>
      <c r="O10" s="138"/>
      <c r="P10" s="167" t="s">
        <v>146</v>
      </c>
      <c r="Q10" s="168"/>
      <c r="R10" s="169">
        <f>F58</f>
        <v>0</v>
      </c>
      <c r="S10" s="170"/>
      <c r="T10" s="74" t="s">
        <v>119</v>
      </c>
      <c r="U10" s="7" t="s">
        <v>120</v>
      </c>
      <c r="V10" s="77">
        <f>V2*0.2</f>
        <v>0</v>
      </c>
      <c r="W10" s="74"/>
      <c r="X10" s="78">
        <f>V5-V6</f>
        <v>-394600</v>
      </c>
      <c r="AB10"/>
      <c r="AC10" s="69">
        <v>96951</v>
      </c>
      <c r="AD10" s="69">
        <v>206700</v>
      </c>
      <c r="AE10" s="72">
        <v>0.22</v>
      </c>
      <c r="AF10" s="69">
        <v>0</v>
      </c>
      <c r="AG10" s="69">
        <v>0</v>
      </c>
      <c r="AH10"/>
      <c r="AI10" s="68" t="s">
        <v>121</v>
      </c>
      <c r="AJ10" s="75" t="e">
        <f>AJ8/AJ7</f>
        <v>#DIV/0!</v>
      </c>
      <c r="AK10" s="44"/>
      <c r="AL10" s="44"/>
      <c r="AM10"/>
      <c r="AN10"/>
      <c r="AO10"/>
      <c r="AP10" s="69">
        <v>0</v>
      </c>
      <c r="AQ10"/>
      <c r="AU10" s="7" t="s">
        <v>122</v>
      </c>
      <c r="BA10" s="81"/>
      <c r="BB10" s="81"/>
      <c r="BC10" s="81"/>
      <c r="BD10" s="217"/>
      <c r="BE10" s="109"/>
      <c r="BF10" s="109"/>
      <c r="BG10" s="109"/>
      <c r="BH10" s="20"/>
      <c r="BI10" s="20"/>
      <c r="BJ10" s="20"/>
      <c r="BK10" s="20"/>
      <c r="BL10" s="20"/>
      <c r="BM10" s="81"/>
      <c r="BN10" s="202">
        <v>0.37</v>
      </c>
    </row>
    <row r="11" spans="1:66" ht="20.100000000000001" customHeight="1" thickBot="1" x14ac:dyDescent="0.3">
      <c r="A11" s="226" t="s">
        <v>123</v>
      </c>
      <c r="B11" s="149"/>
      <c r="C11" s="61"/>
      <c r="D11" s="160" t="s">
        <v>124</v>
      </c>
      <c r="E11" s="162"/>
      <c r="F11" s="62"/>
      <c r="G11" s="63">
        <f t="shared" si="0"/>
        <v>0</v>
      </c>
      <c r="K11" s="64" t="s">
        <v>125</v>
      </c>
      <c r="L11" s="71">
        <v>200000</v>
      </c>
      <c r="M11" s="82" t="str">
        <f>'[2]Main Tab'!J7</f>
        <v>Tax Entity Type - Please Select</v>
      </c>
      <c r="O11" s="109"/>
      <c r="T11" s="66"/>
      <c r="U11" s="66"/>
      <c r="V11" s="66"/>
      <c r="X11" s="57">
        <f>X10/V8</f>
        <v>-3.9460000000000002</v>
      </c>
      <c r="AB11"/>
      <c r="AC11" s="69">
        <v>206701</v>
      </c>
      <c r="AD11" s="69">
        <v>394600</v>
      </c>
      <c r="AE11" s="72">
        <v>0.24</v>
      </c>
      <c r="AF11" s="69">
        <v>0</v>
      </c>
      <c r="AG11" s="69">
        <v>0</v>
      </c>
      <c r="AH11"/>
      <c r="AI11"/>
      <c r="AJ11"/>
      <c r="AK11" s="44"/>
      <c r="AL11" s="20" t="s">
        <v>127</v>
      </c>
      <c r="AM11"/>
      <c r="AN11"/>
      <c r="AO11"/>
      <c r="AP11" s="69">
        <v>0</v>
      </c>
      <c r="AQ11"/>
      <c r="AU11" s="7" t="s">
        <v>128</v>
      </c>
      <c r="AV11" s="57">
        <f>C18</f>
        <v>0</v>
      </c>
      <c r="BA11" s="81"/>
      <c r="BB11" s="81"/>
      <c r="BC11" s="81"/>
      <c r="BD11" s="217"/>
      <c r="BE11" s="109"/>
      <c r="BF11" s="109"/>
      <c r="BG11" s="109"/>
      <c r="BH11" s="20"/>
      <c r="BI11" s="20"/>
      <c r="BJ11" s="20"/>
      <c r="BK11" s="20"/>
      <c r="BL11" s="20"/>
      <c r="BM11" s="81"/>
      <c r="BN11" s="202">
        <v>0.1</v>
      </c>
    </row>
    <row r="12" spans="1:66" ht="20.100000000000001" customHeight="1" thickBot="1" x14ac:dyDescent="0.3">
      <c r="A12" s="227" t="s">
        <v>203</v>
      </c>
      <c r="B12" s="228">
        <f>MAX(0, C12)</f>
        <v>0</v>
      </c>
      <c r="C12" s="61"/>
      <c r="D12" s="160" t="s">
        <v>129</v>
      </c>
      <c r="E12" s="162"/>
      <c r="F12" s="62"/>
      <c r="G12" s="63">
        <f t="shared" si="0"/>
        <v>0</v>
      </c>
      <c r="K12" s="64" t="s">
        <v>67</v>
      </c>
      <c r="L12" s="71">
        <v>125000</v>
      </c>
      <c r="M12" s="44">
        <f>'[2]Income &amp; Exp Worksheet '!X39</f>
        <v>0</v>
      </c>
      <c r="O12" s="138"/>
      <c r="P12" s="167" t="s">
        <v>204</v>
      </c>
      <c r="Q12" s="168"/>
      <c r="R12" s="169">
        <f>F62+F60</f>
        <v>0</v>
      </c>
      <c r="S12" s="170"/>
      <c r="T12" s="66"/>
      <c r="U12" s="66" t="s">
        <v>130</v>
      </c>
      <c r="V12" s="66">
        <f>IF(V5&lt;=V6, 0.2*V2, IF(V5&gt;=V7, 0, MIN(0.2*V2, MAX(0.5*V3, (0.25*V3 + 0.025*V4))) * (V7-V5)/V8 ) )</f>
        <v>0</v>
      </c>
      <c r="X12" s="7">
        <f>V10*X11</f>
        <v>0</v>
      </c>
      <c r="AB12"/>
      <c r="AC12" s="69">
        <v>394601</v>
      </c>
      <c r="AD12" s="69">
        <v>500050</v>
      </c>
      <c r="AE12" s="72">
        <v>0.32</v>
      </c>
      <c r="AF12" s="69">
        <v>0</v>
      </c>
      <c r="AG12" s="69">
        <v>0</v>
      </c>
      <c r="AH12"/>
      <c r="AI12" s="80"/>
      <c r="AJ12"/>
      <c r="AK12" s="44"/>
      <c r="AL12" s="20">
        <v>2024</v>
      </c>
      <c r="AM12"/>
      <c r="AN12"/>
      <c r="AO12"/>
      <c r="AP12" s="69">
        <v>0</v>
      </c>
      <c r="AQ12"/>
      <c r="AU12" s="7" t="s">
        <v>131</v>
      </c>
      <c r="BA12" s="81"/>
      <c r="BB12" s="81"/>
      <c r="BC12" s="81"/>
      <c r="BD12" s="217"/>
      <c r="BE12" s="109"/>
      <c r="BF12" s="109"/>
      <c r="BG12" s="109"/>
      <c r="BH12" s="20"/>
      <c r="BI12" s="20"/>
      <c r="BJ12" s="20"/>
      <c r="BK12" s="20"/>
      <c r="BL12" s="20"/>
      <c r="BM12" s="81"/>
      <c r="BN12" s="202">
        <v>0.12</v>
      </c>
    </row>
    <row r="13" spans="1:66" ht="20.100000000000001" customHeight="1" x14ac:dyDescent="0.25">
      <c r="A13" s="227" t="s">
        <v>205</v>
      </c>
      <c r="B13" s="228">
        <f>MAX(0, C13)</f>
        <v>0</v>
      </c>
      <c r="C13" s="61"/>
      <c r="D13" s="160" t="s">
        <v>132</v>
      </c>
      <c r="E13" s="162"/>
      <c r="F13" s="62"/>
      <c r="G13" s="63">
        <f t="shared" si="0"/>
        <v>0</v>
      </c>
      <c r="K13" s="81"/>
      <c r="L13" s="20"/>
      <c r="M13" s="20"/>
      <c r="O13" s="109"/>
      <c r="T13" s="66"/>
      <c r="U13" s="66" t="s">
        <v>130</v>
      </c>
      <c r="V13" s="83" t="s">
        <v>134</v>
      </c>
      <c r="AB13"/>
      <c r="AC13" s="69">
        <v>501051</v>
      </c>
      <c r="AD13" s="69">
        <v>751600</v>
      </c>
      <c r="AE13" s="72">
        <v>0.35</v>
      </c>
      <c r="AF13" s="69">
        <v>0</v>
      </c>
      <c r="AG13" s="69">
        <v>0</v>
      </c>
      <c r="AH13"/>
      <c r="AI13" s="80"/>
      <c r="AJ13"/>
      <c r="AK13" s="44"/>
      <c r="AL13" s="20">
        <v>2025</v>
      </c>
      <c r="AM13"/>
      <c r="AN13"/>
      <c r="AO13"/>
      <c r="AP13" s="69">
        <v>0</v>
      </c>
      <c r="AQ13"/>
      <c r="AU13" s="7" t="s">
        <v>135</v>
      </c>
      <c r="AV13" s="84">
        <f>E16*0.5</f>
        <v>0</v>
      </c>
      <c r="BA13" s="81"/>
      <c r="BB13" s="81"/>
      <c r="BC13" s="81"/>
      <c r="BD13" s="217"/>
      <c r="BE13" s="109"/>
      <c r="BF13" s="109"/>
      <c r="BG13" s="109"/>
      <c r="BH13" s="20"/>
      <c r="BI13" s="20"/>
      <c r="BJ13" s="20"/>
      <c r="BK13" s="20"/>
      <c r="BL13" s="20"/>
      <c r="BM13" s="81"/>
      <c r="BN13" s="202">
        <v>0.22</v>
      </c>
    </row>
    <row r="14" spans="1:66" ht="20.100000000000001" customHeight="1" x14ac:dyDescent="0.35">
      <c r="A14" s="226" t="s">
        <v>136</v>
      </c>
      <c r="B14" s="149"/>
      <c r="C14" s="79"/>
      <c r="D14" s="160" t="s">
        <v>206</v>
      </c>
      <c r="E14" s="162">
        <v>0</v>
      </c>
      <c r="F14" s="62"/>
      <c r="G14" s="63">
        <f t="shared" si="0"/>
        <v>0</v>
      </c>
      <c r="K14" s="85">
        <f>C7+C8+C15+C16</f>
        <v>0</v>
      </c>
      <c r="L14" s="86">
        <f>VLOOKUP(F5,K7:L12,2,FALSE)</f>
        <v>250000</v>
      </c>
      <c r="M14" s="20"/>
      <c r="O14" s="109"/>
      <c r="P14" s="163" t="str">
        <f>IF(R14&gt;0, "Tax Due", "Refund")</f>
        <v>Refund</v>
      </c>
      <c r="Q14" s="164"/>
      <c r="R14" s="165">
        <f>E64</f>
        <v>0</v>
      </c>
      <c r="S14" s="166"/>
      <c r="T14" s="66"/>
      <c r="U14" s="66"/>
      <c r="V14" s="66"/>
      <c r="AB14"/>
      <c r="AC14" s="69">
        <v>751600</v>
      </c>
      <c r="AD14" s="73" t="str">
        <v>and up</v>
      </c>
      <c r="AE14" s="72">
        <v>0.37</v>
      </c>
      <c r="AF14" s="69">
        <v>0</v>
      </c>
      <c r="AG14" s="69">
        <v>0</v>
      </c>
      <c r="AH14"/>
      <c r="AI14" s="87"/>
      <c r="AJ14"/>
      <c r="AK14"/>
      <c r="AL14" s="81">
        <v>2026</v>
      </c>
      <c r="AM14"/>
      <c r="AN14"/>
      <c r="AO14"/>
      <c r="AP14" s="69">
        <v>0</v>
      </c>
      <c r="AQ14"/>
      <c r="AU14" s="7" t="s">
        <v>122</v>
      </c>
      <c r="AV14" s="88">
        <f>AV11+AV12+AV13</f>
        <v>0</v>
      </c>
      <c r="AW14" s="6"/>
      <c r="BA14" s="81"/>
      <c r="BB14" s="81"/>
      <c r="BC14" s="81"/>
      <c r="BD14" s="217"/>
      <c r="BE14" s="109"/>
      <c r="BF14" s="109"/>
      <c r="BG14" s="109"/>
      <c r="BH14" s="20"/>
      <c r="BI14" s="20"/>
      <c r="BJ14" s="20"/>
      <c r="BK14" s="20"/>
      <c r="BL14" s="20"/>
      <c r="BM14" s="81"/>
      <c r="BN14" s="202">
        <v>0.24</v>
      </c>
    </row>
    <row r="15" spans="1:66" ht="20.100000000000001" customHeight="1" x14ac:dyDescent="0.25">
      <c r="A15" s="226" t="s">
        <v>137</v>
      </c>
      <c r="B15" s="149"/>
      <c r="C15" s="79"/>
      <c r="D15" s="160" t="s">
        <v>138</v>
      </c>
      <c r="E15" s="162">
        <v>0</v>
      </c>
      <c r="F15" s="62"/>
      <c r="G15" s="63">
        <f t="shared" si="0"/>
        <v>0</v>
      </c>
      <c r="K15" s="89">
        <f>K14-L14</f>
        <v>-250000</v>
      </c>
      <c r="L15" s="20">
        <f>IF(K15&gt;0,K15*0.009,0)</f>
        <v>0</v>
      </c>
      <c r="M15" s="20"/>
      <c r="O15" s="109"/>
      <c r="T15" s="66"/>
      <c r="U15" t="s">
        <v>140</v>
      </c>
      <c r="V15" s="90">
        <f>V5-V6</f>
        <v>-394600</v>
      </c>
      <c r="AB15"/>
      <c r="AC15"/>
      <c r="AD15"/>
      <c r="AE15"/>
      <c r="AF15"/>
      <c r="AG15"/>
      <c r="AH15"/>
      <c r="AI15"/>
      <c r="AJ15"/>
      <c r="AK15"/>
      <c r="AL15"/>
      <c r="AM15"/>
      <c r="AN15"/>
      <c r="AO15"/>
      <c r="AP15"/>
      <c r="AQ15"/>
      <c r="AU15" s="8">
        <f>IF(AD5="Single",
    IF(AV14&lt;=25000, 0, IF(AV14&lt;=34000, 50%, 85%)),
    IF(AD5="HH",
        IF(AV14&lt;=25000, 0, IF(AV14&lt;=34000, 50%, 85%)),
        IF(AD5="MFJ",
            IF(AV14&lt;=32000, 0, IF(AV14&lt;=44000, 50%, 85%)),
            IF(AD5="MFS",
                IF(AV14&gt;0, 85%, 0),
                "Invalid Status"
            )
        )
    )
)</f>
        <v>0</v>
      </c>
      <c r="BA15" s="81"/>
      <c r="BB15" s="81"/>
      <c r="BC15" s="81"/>
      <c r="BD15" s="217"/>
      <c r="BE15" s="109"/>
      <c r="BF15" s="109"/>
      <c r="BG15" s="109"/>
      <c r="BH15" s="20"/>
      <c r="BI15" s="20"/>
      <c r="BJ15" s="20"/>
      <c r="BK15" s="20"/>
      <c r="BL15" s="20"/>
      <c r="BM15" s="81"/>
      <c r="BN15" s="202">
        <v>0.32</v>
      </c>
    </row>
    <row r="16" spans="1:66" ht="20.100000000000001" customHeight="1" x14ac:dyDescent="0.25">
      <c r="A16" s="226" t="s">
        <v>141</v>
      </c>
      <c r="B16" s="149"/>
      <c r="C16" s="91"/>
      <c r="D16" s="101" t="s">
        <v>207</v>
      </c>
      <c r="E16" s="229"/>
      <c r="F16" s="92">
        <f>E16*AU15</f>
        <v>0</v>
      </c>
      <c r="G16" s="63">
        <f>C16*$H$5</f>
        <v>0</v>
      </c>
      <c r="H16" s="7" t="s">
        <v>142</v>
      </c>
      <c r="K16" s="81"/>
      <c r="L16" s="20"/>
      <c r="M16" s="20"/>
      <c r="O16" s="138"/>
      <c r="P16" s="230" t="s">
        <v>208</v>
      </c>
      <c r="Q16" s="231"/>
      <c r="R16" s="231"/>
      <c r="S16" s="232"/>
      <c r="T16" s="66"/>
      <c r="U16" t="s">
        <v>143</v>
      </c>
      <c r="V16" s="83">
        <f>V15/V8</f>
        <v>-3.9460000000000002</v>
      </c>
      <c r="AB16"/>
      <c r="AC16" s="167" t="s">
        <v>209</v>
      </c>
      <c r="AD16" s="233"/>
      <c r="AE16" s="190"/>
      <c r="AF16" s="93">
        <f>SUM(AF8:AF14)</f>
        <v>0</v>
      </c>
      <c r="AG16" s="94">
        <f>SUM(AG8:AG14)</f>
        <v>0</v>
      </c>
      <c r="AH16"/>
      <c r="AI16"/>
      <c r="AJ16"/>
      <c r="AK16"/>
      <c r="AL16"/>
      <c r="AM16"/>
      <c r="AN16"/>
      <c r="AO16"/>
      <c r="AP16"/>
      <c r="AQ16"/>
      <c r="AU16" s="234"/>
      <c r="BA16" s="81"/>
      <c r="BB16" s="81"/>
      <c r="BC16" s="81"/>
      <c r="BD16" s="81"/>
      <c r="BE16" s="109"/>
      <c r="BF16" s="109"/>
      <c r="BG16" s="109"/>
      <c r="BH16" s="20"/>
      <c r="BI16" s="20"/>
      <c r="BJ16" s="20"/>
      <c r="BK16" s="20"/>
      <c r="BL16" s="20"/>
      <c r="BM16" s="81"/>
      <c r="BN16" s="202">
        <v>0.35</v>
      </c>
    </row>
    <row r="17" spans="1:66" ht="20.100000000000001" customHeight="1" x14ac:dyDescent="0.25">
      <c r="A17" s="226" t="s">
        <v>210</v>
      </c>
      <c r="B17" s="149"/>
      <c r="C17" s="61"/>
      <c r="D17" s="160" t="s">
        <v>211</v>
      </c>
      <c r="E17" s="162"/>
      <c r="F17" s="62"/>
      <c r="G17" s="235"/>
      <c r="K17" s="81"/>
      <c r="L17" s="20"/>
      <c r="M17" s="20"/>
      <c r="O17" s="138"/>
      <c r="T17" s="66"/>
      <c r="U17"/>
      <c r="V17" s="83"/>
      <c r="AB17"/>
      <c r="AC17" s="20"/>
      <c r="AD17" s="20"/>
      <c r="AE17" s="20"/>
      <c r="AF17" s="236"/>
      <c r="AG17" s="236"/>
      <c r="AH17"/>
      <c r="AI17"/>
      <c r="AJ17"/>
      <c r="AK17"/>
      <c r="AL17"/>
      <c r="AM17"/>
      <c r="AN17"/>
      <c r="AO17"/>
      <c r="AP17"/>
      <c r="AQ17"/>
      <c r="AU17" s="234"/>
      <c r="BA17" s="201" t="s">
        <v>212</v>
      </c>
      <c r="BB17" s="201"/>
      <c r="BC17" s="201"/>
      <c r="BD17" s="201"/>
      <c r="BE17" s="109"/>
      <c r="BF17" s="109"/>
      <c r="BG17" s="109"/>
      <c r="BH17" s="20"/>
      <c r="BI17" s="20"/>
      <c r="BJ17" s="20"/>
      <c r="BK17" s="20"/>
      <c r="BL17" s="20"/>
      <c r="BM17" s="81"/>
      <c r="BN17" s="202">
        <v>0.37</v>
      </c>
    </row>
    <row r="18" spans="1:66" ht="20.100000000000001" customHeight="1" x14ac:dyDescent="0.25">
      <c r="A18" s="226" t="s">
        <v>213</v>
      </c>
      <c r="B18" s="149"/>
      <c r="C18" s="237">
        <f>SUM(C7:C17)-C12-C13</f>
        <v>0</v>
      </c>
      <c r="D18" s="238" t="s">
        <v>144</v>
      </c>
      <c r="E18" s="239">
        <f>SUM(E12:E16)</f>
        <v>0</v>
      </c>
      <c r="F18" s="237">
        <f>C18-SUM(F13:F15)-(F52/2)+F16+F21</f>
        <v>0</v>
      </c>
      <c r="G18" s="95">
        <f>SUM(G7:G16)</f>
        <v>0</v>
      </c>
      <c r="H18" s="7" t="s">
        <v>145</v>
      </c>
      <c r="K18" s="81"/>
      <c r="L18" s="20"/>
      <c r="M18" s="20"/>
      <c r="O18" s="109"/>
      <c r="P18" s="226" t="s">
        <v>214</v>
      </c>
      <c r="Q18" s="240"/>
      <c r="R18" s="241"/>
      <c r="S18" s="242"/>
      <c r="T18" s="66"/>
      <c r="U18" t="s">
        <v>147</v>
      </c>
      <c r="V18" s="90">
        <f>1-V16</f>
        <v>4.9459999999999997</v>
      </c>
      <c r="AB18"/>
      <c r="AC18" s="226" t="s">
        <v>117</v>
      </c>
      <c r="AD18" s="149"/>
      <c r="AE18" s="243">
        <f>AJ9</f>
        <v>0.1</v>
      </c>
      <c r="AF18" s="45" t="s">
        <v>121</v>
      </c>
      <c r="AG18" s="244" t="e">
        <f>AJ10</f>
        <v>#DIV/0!</v>
      </c>
      <c r="AN18"/>
      <c r="AO18"/>
      <c r="AP18"/>
      <c r="AQ18"/>
      <c r="AU18" s="20" t="s">
        <v>215</v>
      </c>
      <c r="BA18" s="245" t="s">
        <v>174</v>
      </c>
      <c r="BB18" s="245"/>
      <c r="BC18" s="245"/>
      <c r="BD18" s="220"/>
      <c r="BE18" s="109"/>
      <c r="BF18" s="109"/>
      <c r="BG18" s="109"/>
      <c r="BH18" s="20"/>
      <c r="BI18" s="20"/>
      <c r="BJ18" s="20"/>
      <c r="BK18" s="20"/>
      <c r="BL18" s="20"/>
      <c r="BM18" s="81"/>
      <c r="BN18" s="202">
        <v>0.37</v>
      </c>
    </row>
    <row r="19" spans="1:66" ht="20.100000000000001" customHeight="1" x14ac:dyDescent="0.25">
      <c r="A19" s="246" t="s">
        <v>216</v>
      </c>
      <c r="B19" s="247"/>
      <c r="C19" s="247"/>
      <c r="D19" s="247"/>
      <c r="E19" s="247"/>
      <c r="F19" s="248"/>
      <c r="G19" s="96"/>
      <c r="K19" s="81"/>
      <c r="L19" s="20"/>
      <c r="M19" s="20"/>
      <c r="O19" s="109"/>
      <c r="T19" s="66"/>
      <c r="U19"/>
      <c r="V19" s="90"/>
      <c r="AB19"/>
      <c r="AC19" s="20"/>
      <c r="AD19" s="20"/>
      <c r="AE19" s="20"/>
      <c r="AF19" s="236"/>
      <c r="AG19" s="236"/>
      <c r="AN19"/>
      <c r="AO19"/>
      <c r="AP19"/>
      <c r="AQ19"/>
      <c r="AU19" s="20"/>
      <c r="BA19" s="245" t="s">
        <v>177</v>
      </c>
      <c r="BB19" s="245"/>
      <c r="BC19" s="245"/>
      <c r="BD19" s="220"/>
      <c r="BE19" s="109"/>
      <c r="BF19" s="109"/>
      <c r="BG19" s="109"/>
      <c r="BH19" s="20"/>
      <c r="BI19" s="20"/>
      <c r="BJ19" s="20"/>
      <c r="BK19" s="20"/>
      <c r="BL19" s="20"/>
      <c r="BM19" s="81"/>
      <c r="BN19" s="249"/>
    </row>
    <row r="20" spans="1:66" ht="20.100000000000001" hidden="1" customHeight="1" x14ac:dyDescent="0.25">
      <c r="A20" s="250" t="s">
        <v>217</v>
      </c>
      <c r="B20" s="251"/>
      <c r="C20" s="79">
        <f>B12</f>
        <v>0</v>
      </c>
      <c r="D20" s="1" t="s">
        <v>218</v>
      </c>
      <c r="E20" s="79">
        <f>B13</f>
        <v>0</v>
      </c>
      <c r="F20" s="252"/>
      <c r="G20" s="96"/>
      <c r="K20" s="81"/>
      <c r="L20" s="20"/>
      <c r="M20" s="20"/>
      <c r="O20" s="109"/>
      <c r="T20" s="66"/>
      <c r="U20"/>
      <c r="V20" s="90"/>
      <c r="AB20"/>
      <c r="AC20" s="20"/>
      <c r="AD20" s="20"/>
      <c r="AE20" s="20"/>
      <c r="AF20" s="236"/>
      <c r="AG20" s="236"/>
      <c r="AN20"/>
      <c r="AO20"/>
      <c r="AP20"/>
      <c r="AQ20"/>
      <c r="AU20" s="20"/>
      <c r="BA20" s="245" t="s">
        <v>179</v>
      </c>
      <c r="BB20" s="245"/>
      <c r="BC20" s="245"/>
      <c r="BD20" s="220"/>
      <c r="BE20" s="109"/>
      <c r="BF20" s="109"/>
      <c r="BG20" s="109"/>
      <c r="BH20" s="20"/>
      <c r="BI20" s="20"/>
      <c r="BJ20" s="20"/>
      <c r="BK20" s="20"/>
      <c r="BL20" s="20"/>
      <c r="BM20" s="81"/>
      <c r="BN20" s="249"/>
    </row>
    <row r="21" spans="1:66" ht="16.5" customHeight="1" x14ac:dyDescent="0.25">
      <c r="A21" s="250" t="s">
        <v>219</v>
      </c>
      <c r="B21" s="251"/>
      <c r="C21" s="79"/>
      <c r="D21" s="1" t="s">
        <v>220</v>
      </c>
      <c r="E21" s="79"/>
      <c r="F21" s="252">
        <f>MAX(-3000,(C20+E20+C21+E21))</f>
        <v>0</v>
      </c>
      <c r="G21" s="96"/>
      <c r="O21" s="109"/>
      <c r="P21" s="226" t="s">
        <v>221</v>
      </c>
      <c r="Q21" s="240"/>
      <c r="R21" s="241"/>
      <c r="S21" s="242"/>
      <c r="T21" s="66"/>
      <c r="U21" t="s">
        <v>148</v>
      </c>
      <c r="V21" s="83">
        <f>MAX(0, MIN(1, V18))</f>
        <v>1</v>
      </c>
      <c r="AB21"/>
      <c r="AC21" s="253" t="s">
        <v>149</v>
      </c>
      <c r="AD21" s="20"/>
      <c r="AE21" s="20"/>
      <c r="AF21" s="20"/>
      <c r="AG21" s="20"/>
      <c r="AH21" s="254"/>
      <c r="AI21" s="20"/>
      <c r="AJ21" s="20"/>
      <c r="AK21" s="20"/>
      <c r="AL21" s="20"/>
      <c r="AM21" s="20"/>
      <c r="AN21" s="81"/>
      <c r="AO21" s="81"/>
      <c r="AP21" s="81"/>
      <c r="AQ21" s="81"/>
      <c r="AR21" s="20"/>
      <c r="AS21" s="20"/>
      <c r="AT21" s="20"/>
      <c r="AU21" s="20" cm="1">
        <f t="array" ref="AU21">_xlfn.IFS(F2=2024, 168600, F2=2025, 176100, F2=2026, 184500, TRUE, "")</f>
        <v>176100</v>
      </c>
      <c r="AV21" s="20"/>
      <c r="AW21" s="20"/>
      <c r="AX21" s="20"/>
      <c r="AY21" s="20"/>
      <c r="AZ21" s="20"/>
      <c r="BA21" s="245" t="s">
        <v>181</v>
      </c>
      <c r="BB21" s="245"/>
      <c r="BC21" s="245"/>
      <c r="BD21" s="220"/>
      <c r="BE21" s="109"/>
      <c r="BF21" s="109"/>
      <c r="BG21" s="109"/>
      <c r="BH21" s="20"/>
      <c r="BI21" s="20"/>
      <c r="BJ21" s="20"/>
      <c r="BK21" s="20"/>
      <c r="BL21" s="20"/>
      <c r="BM21" s="20"/>
      <c r="BN21" s="7"/>
    </row>
    <row r="22" spans="1:66" ht="20.100000000000001" hidden="1" customHeight="1" x14ac:dyDescent="0.25">
      <c r="A22" s="160" t="s">
        <v>150</v>
      </c>
      <c r="B22" s="255"/>
      <c r="C22" s="161"/>
      <c r="D22" s="161"/>
      <c r="E22" s="162"/>
      <c r="F22" s="97">
        <f>IF(L23=150000, M27, IF(L23=75000, M23, 0))</f>
        <v>0</v>
      </c>
      <c r="G22" s="96"/>
      <c r="O22" s="109"/>
      <c r="Q22" s="86"/>
      <c r="R22" s="86"/>
      <c r="S22" s="20"/>
      <c r="T22" s="66"/>
      <c r="U22" s="66"/>
      <c r="V22" s="90">
        <f>E45</f>
        <v>0</v>
      </c>
      <c r="AB22"/>
      <c r="AC22" s="20"/>
      <c r="AD22" s="20"/>
      <c r="AE22" s="20"/>
      <c r="AF22" s="20"/>
      <c r="AG22" s="20"/>
      <c r="AH22" s="20"/>
      <c r="AI22" s="20"/>
      <c r="AJ22" s="20"/>
      <c r="AK22" s="20"/>
      <c r="AL22" s="20"/>
      <c r="AM22" s="20"/>
      <c r="AN22" s="81"/>
      <c r="AO22" s="81"/>
      <c r="AP22" s="81"/>
      <c r="AQ22" s="81"/>
      <c r="AR22" s="20"/>
      <c r="AS22" s="20"/>
      <c r="AT22" s="20"/>
      <c r="AU22" s="20"/>
      <c r="AV22" s="20"/>
      <c r="AW22" s="20"/>
      <c r="AX22" s="20"/>
      <c r="AY22" s="20"/>
      <c r="AZ22" s="20"/>
      <c r="BA22" s="245" t="s">
        <v>183</v>
      </c>
      <c r="BB22" s="245"/>
      <c r="BC22" s="245"/>
      <c r="BD22" s="220"/>
      <c r="BE22" s="109"/>
      <c r="BF22" s="109"/>
      <c r="BG22" s="109"/>
      <c r="BH22" s="20"/>
      <c r="BI22" s="20"/>
      <c r="BJ22" s="20"/>
      <c r="BK22" s="20"/>
      <c r="BL22" s="20"/>
      <c r="BM22" s="20"/>
      <c r="BN22" s="7"/>
    </row>
    <row r="23" spans="1:66" ht="20.100000000000001" hidden="1" customHeight="1" x14ac:dyDescent="0.25">
      <c r="A23" s="98"/>
      <c r="B23" s="98"/>
      <c r="C23" s="98"/>
      <c r="D23" s="98"/>
      <c r="E23" s="98"/>
      <c r="F23" s="98"/>
      <c r="G23" s="96"/>
      <c r="L23" s="7">
        <f>IF(F5="Single",75000,IF(F5="MFJ",150000,IF(F5="MFS",75000,IF(F5="HH",75000,13850))))</f>
        <v>150000</v>
      </c>
      <c r="M23" s="44">
        <f>IF(O3&gt;=65, O12021, 0)</f>
        <v>0</v>
      </c>
      <c r="O23" s="109"/>
      <c r="P23" s="256"/>
      <c r="Q23" s="109"/>
      <c r="R23" s="257"/>
      <c r="S23" s="257"/>
      <c r="T23" s="66"/>
      <c r="U23" s="66"/>
      <c r="V23" s="90">
        <f>V22*V21</f>
        <v>0</v>
      </c>
      <c r="AB23"/>
      <c r="AC23" s="44" t="s">
        <v>151</v>
      </c>
      <c r="AD23" s="258" t="s">
        <v>152</v>
      </c>
      <c r="AE23" s="258"/>
      <c r="AF23" s="258" t="s">
        <v>153</v>
      </c>
      <c r="AG23" s="258"/>
      <c r="AH23" s="258" t="s">
        <v>154</v>
      </c>
      <c r="AI23" s="258"/>
      <c r="AJ23" s="258" t="s">
        <v>155</v>
      </c>
      <c r="AK23" s="258"/>
      <c r="AL23" s="258" t="s">
        <v>127</v>
      </c>
      <c r="AM23" s="20"/>
      <c r="AN23" s="81"/>
      <c r="AO23" s="81"/>
      <c r="AP23" s="81"/>
      <c r="AQ23" s="81"/>
      <c r="AR23" s="20"/>
      <c r="AS23" s="20"/>
      <c r="AT23" s="20"/>
      <c r="AU23" s="20"/>
      <c r="AV23" s="20"/>
      <c r="AW23" s="20"/>
      <c r="AX23" s="20"/>
      <c r="AY23" s="20"/>
      <c r="AZ23" s="20"/>
      <c r="BA23" s="245" t="s">
        <v>184</v>
      </c>
      <c r="BB23" s="245"/>
      <c r="BC23" s="245"/>
      <c r="BD23" s="220"/>
      <c r="BE23" s="109"/>
      <c r="BF23" s="109"/>
      <c r="BG23" s="109"/>
      <c r="BH23" s="20"/>
      <c r="BI23" s="20"/>
      <c r="BJ23" s="20"/>
      <c r="BK23" s="20"/>
      <c r="BL23" s="20"/>
      <c r="BM23" s="20"/>
      <c r="BN23" s="7"/>
    </row>
    <row r="24" spans="1:66" ht="20.100000000000001" hidden="1" customHeight="1" x14ac:dyDescent="0.25">
      <c r="A24" s="160" t="s">
        <v>156</v>
      </c>
      <c r="B24" s="255"/>
      <c r="C24" s="161"/>
      <c r="D24" s="161"/>
      <c r="E24" s="162"/>
      <c r="F24" s="97">
        <f>IF(F18 &lt; L23, L27, 0)</f>
        <v>0</v>
      </c>
      <c r="G24" s="96"/>
      <c r="L24" s="7">
        <f>IF(O3&gt;=65, 6000, 0)</f>
        <v>0</v>
      </c>
      <c r="M24" s="44">
        <f>IF(O3&gt;=65, 1600, 0)</f>
        <v>0</v>
      </c>
      <c r="O24" s="109"/>
      <c r="T24" s="66"/>
      <c r="U24" s="66"/>
      <c r="V24" s="66"/>
      <c r="AB24"/>
      <c r="AC24" s="259">
        <v>0.1</v>
      </c>
      <c r="AD24" s="260">
        <v>0</v>
      </c>
      <c r="AE24" s="260">
        <v>12400</v>
      </c>
      <c r="AF24" s="260">
        <v>0</v>
      </c>
      <c r="AG24" s="260">
        <v>24800</v>
      </c>
      <c r="AH24" s="260">
        <v>0</v>
      </c>
      <c r="AI24" s="260">
        <v>12400</v>
      </c>
      <c r="AJ24" s="260">
        <v>0</v>
      </c>
      <c r="AK24" s="260">
        <v>17700</v>
      </c>
      <c r="AL24" s="44">
        <v>2026</v>
      </c>
      <c r="AM24" s="20"/>
      <c r="AN24" s="81"/>
      <c r="AO24" s="261" t="s">
        <v>157</v>
      </c>
      <c r="AP24" s="81"/>
      <c r="AQ24" s="81"/>
      <c r="AR24" s="20"/>
      <c r="AS24" s="20"/>
      <c r="AT24" s="20"/>
      <c r="AU24" s="20"/>
      <c r="AV24" s="20"/>
      <c r="AW24" s="20"/>
      <c r="AX24" s="20"/>
      <c r="AY24" s="20"/>
      <c r="AZ24" s="20"/>
      <c r="BA24" s="245" t="s">
        <v>186</v>
      </c>
      <c r="BB24" s="245"/>
      <c r="BC24" s="245"/>
      <c r="BD24" s="220"/>
      <c r="BE24" s="109"/>
      <c r="BF24" s="109"/>
      <c r="BG24" s="109"/>
      <c r="BH24" s="20"/>
      <c r="BI24" s="20"/>
      <c r="BJ24" s="20"/>
      <c r="BK24" s="20"/>
      <c r="BL24" s="20"/>
      <c r="BM24" s="20"/>
      <c r="BN24" s="7"/>
    </row>
    <row r="25" spans="1:66" ht="15.6" customHeight="1" x14ac:dyDescent="0.25">
      <c r="A25" s="99"/>
      <c r="B25" s="99"/>
      <c r="C25" s="99"/>
      <c r="D25" s="99"/>
      <c r="E25" s="99"/>
      <c r="F25" s="99"/>
      <c r="G25" s="98"/>
      <c r="H25" s="7" t="s">
        <v>158</v>
      </c>
      <c r="L25" s="7">
        <f>IF(O4&gt;=65, 6000, 0)</f>
        <v>0</v>
      </c>
      <c r="M25" s="44">
        <f>IF(O4&gt;=65, 1600, 0)</f>
        <v>0</v>
      </c>
      <c r="O25" s="138"/>
      <c r="T25" s="66"/>
      <c r="U25" s="66"/>
      <c r="V25" s="66"/>
      <c r="AB25"/>
      <c r="AC25" s="259">
        <v>0.12</v>
      </c>
      <c r="AD25" s="260">
        <v>12401</v>
      </c>
      <c r="AE25" s="260">
        <v>50400</v>
      </c>
      <c r="AF25" s="260">
        <v>24801</v>
      </c>
      <c r="AG25" s="260">
        <v>100800</v>
      </c>
      <c r="AH25" s="260">
        <v>12401</v>
      </c>
      <c r="AI25" s="260">
        <v>50400</v>
      </c>
      <c r="AJ25" s="260">
        <v>17701</v>
      </c>
      <c r="AK25" s="260">
        <v>67450</v>
      </c>
      <c r="AL25" s="44">
        <v>2026</v>
      </c>
      <c r="AM25" s="20"/>
      <c r="AN25" s="81"/>
      <c r="AO25" s="262" t="s">
        <v>65</v>
      </c>
      <c r="AP25" s="81"/>
      <c r="AQ25" s="81"/>
      <c r="AR25" s="20"/>
      <c r="AS25" s="20"/>
      <c r="AT25" s="20"/>
      <c r="AU25" s="20"/>
      <c r="AV25" s="20"/>
      <c r="AW25" s="20"/>
      <c r="AX25" s="20"/>
      <c r="AY25" s="20"/>
      <c r="AZ25" s="20"/>
      <c r="BA25" s="245" t="s">
        <v>188</v>
      </c>
      <c r="BB25" s="245"/>
      <c r="BC25" s="245"/>
      <c r="BD25" s="220"/>
      <c r="BE25" s="109"/>
      <c r="BF25" s="109"/>
      <c r="BG25" s="109"/>
      <c r="BH25" s="20"/>
      <c r="BI25" s="20"/>
      <c r="BJ25" s="20"/>
      <c r="BK25" s="20"/>
      <c r="BL25" s="20"/>
      <c r="BM25" s="20"/>
      <c r="BN25" s="7"/>
    </row>
    <row r="26" spans="1:66" ht="16.5" customHeight="1" x14ac:dyDescent="0.25">
      <c r="A26" s="246" t="s">
        <v>222</v>
      </c>
      <c r="B26" s="247"/>
      <c r="C26" s="247"/>
      <c r="D26" s="247"/>
      <c r="E26" s="247"/>
      <c r="F26" s="263" t="s">
        <v>223</v>
      </c>
      <c r="G26" s="98"/>
      <c r="N26" s="100">
        <f>MAX(F28, F27)</f>
        <v>31500</v>
      </c>
      <c r="O26" s="138"/>
      <c r="P26" s="226" t="s">
        <v>224</v>
      </c>
      <c r="Q26" s="149"/>
      <c r="R26" s="169">
        <f>MIN(R8 * 0.9, R21 * IF(R18 &gt; R27, 1.1, 1))</f>
        <v>0</v>
      </c>
      <c r="S26" s="170"/>
      <c r="T26" s="66"/>
      <c r="U26" s="66"/>
      <c r="V26" s="66"/>
      <c r="AB26"/>
      <c r="AC26" s="259">
        <v>0.22</v>
      </c>
      <c r="AD26" s="260">
        <v>50401</v>
      </c>
      <c r="AE26" s="260">
        <v>105700</v>
      </c>
      <c r="AF26" s="260">
        <v>100801</v>
      </c>
      <c r="AG26" s="260">
        <v>211400</v>
      </c>
      <c r="AH26" s="260">
        <v>50401</v>
      </c>
      <c r="AI26" s="260">
        <v>105700</v>
      </c>
      <c r="AJ26" s="260">
        <v>67451</v>
      </c>
      <c r="AK26" s="260">
        <v>105700</v>
      </c>
      <c r="AL26" s="44">
        <v>2026</v>
      </c>
      <c r="AM26" s="20"/>
      <c r="AN26" s="81"/>
      <c r="AO26" s="262" t="s">
        <v>66</v>
      </c>
      <c r="AP26" s="81"/>
      <c r="AQ26" s="81"/>
      <c r="AR26" s="20"/>
      <c r="AS26" s="20"/>
      <c r="AT26" s="20"/>
      <c r="AU26" s="20"/>
      <c r="AV26" s="20"/>
      <c r="AW26" s="20"/>
      <c r="AX26" s="20"/>
      <c r="AY26" s="20"/>
      <c r="AZ26" s="20"/>
      <c r="BA26" s="245" t="s">
        <v>190</v>
      </c>
      <c r="BB26" s="245"/>
      <c r="BC26" s="245"/>
      <c r="BD26" s="220"/>
      <c r="BE26" s="109"/>
      <c r="BF26" s="109"/>
      <c r="BG26" s="109"/>
      <c r="BH26" s="20"/>
      <c r="BI26" s="20"/>
      <c r="BJ26" s="20"/>
      <c r="BK26" s="20"/>
      <c r="BL26" s="20"/>
      <c r="BM26" s="20"/>
      <c r="BN26" s="7"/>
    </row>
    <row r="27" spans="1:66" ht="15" customHeight="1" x14ac:dyDescent="0.25">
      <c r="A27" s="160" t="s">
        <v>159</v>
      </c>
      <c r="B27" s="264"/>
      <c r="C27" s="101" t="s">
        <v>160</v>
      </c>
      <c r="D27" s="101" t="s">
        <v>161</v>
      </c>
      <c r="E27" s="101" t="s">
        <v>162</v>
      </c>
      <c r="F27" s="97" cm="1">
        <f t="array" ref="F27">_xlfn.XLOOKUP(F2,AU:AU,INDEX(AV:AY,,MATCH(F5,AV1:AY1,0)))+F22+F24</f>
        <v>31500</v>
      </c>
      <c r="G27" s="102">
        <f>IF(G5="Single",15750,IF(G5="MFJ",31500,IF(G5="MFS",15750,IF(G5="HH",23625,13850))))+G22+G24</f>
        <v>13850</v>
      </c>
      <c r="H27" s="102">
        <f>IF(H5="Single",15750,IF(H5="MFJ",31500,IF(H5="MFS",15750,IF(H5="HH",23625,13850))))+H22+H24</f>
        <v>13850</v>
      </c>
      <c r="I27" s="97">
        <f>IF(F5="Single",197300,IF(F5="MFJ",394600,IF(F5="MFS",197300,IF(F5="HH",197300,13850))))</f>
        <v>394600</v>
      </c>
      <c r="L27" s="7">
        <f>L24+L25</f>
        <v>0</v>
      </c>
      <c r="M27" s="44">
        <f>M25+M24</f>
        <v>0</v>
      </c>
      <c r="N27" s="100"/>
      <c r="O27" s="103"/>
      <c r="R27" s="44">
        <f>IF(AD5="MFS", 75000, 150000)</f>
        <v>150000</v>
      </c>
      <c r="T27" s="103"/>
      <c r="U27" s="103"/>
      <c r="V27" s="103"/>
      <c r="W27" s="103"/>
      <c r="X27" s="103"/>
      <c r="Y27" s="103"/>
      <c r="Z27" s="103"/>
      <c r="AB27"/>
      <c r="AC27" s="259">
        <v>0.24</v>
      </c>
      <c r="AD27" s="260">
        <v>105701</v>
      </c>
      <c r="AE27" s="260">
        <v>201775</v>
      </c>
      <c r="AF27" s="260">
        <v>211401</v>
      </c>
      <c r="AG27" s="260">
        <v>403550</v>
      </c>
      <c r="AH27" s="260">
        <v>105701</v>
      </c>
      <c r="AI27" s="260">
        <v>201775</v>
      </c>
      <c r="AJ27" s="260">
        <v>105701</v>
      </c>
      <c r="AK27" s="260">
        <v>201750</v>
      </c>
      <c r="AL27" s="44">
        <v>2026</v>
      </c>
      <c r="AM27" s="20"/>
      <c r="AN27" s="81"/>
      <c r="AO27" s="262" t="s">
        <v>67</v>
      </c>
      <c r="AP27" s="81"/>
      <c r="AQ27" s="81"/>
      <c r="AR27" s="20"/>
      <c r="AS27" s="20"/>
      <c r="AT27" s="20"/>
      <c r="AU27" s="20"/>
      <c r="AV27" s="20"/>
      <c r="AW27" s="20"/>
      <c r="AX27" s="20"/>
      <c r="AY27" s="20"/>
      <c r="AZ27" s="20"/>
      <c r="BA27" s="245" t="s">
        <v>183</v>
      </c>
      <c r="BB27" s="245"/>
      <c r="BC27" s="245"/>
      <c r="BD27" s="220"/>
      <c r="BE27" s="109"/>
      <c r="BF27" s="109"/>
      <c r="BG27" s="109"/>
      <c r="BH27" s="20"/>
      <c r="BI27" s="20"/>
      <c r="BJ27" s="20"/>
      <c r="BK27" s="20"/>
      <c r="BL27" s="20"/>
      <c r="BM27" s="20"/>
      <c r="BN27" s="7"/>
    </row>
    <row r="28" spans="1:66" ht="15.6" customHeight="1" x14ac:dyDescent="0.25">
      <c r="A28" s="265"/>
      <c r="B28" s="266"/>
      <c r="C28" s="267"/>
      <c r="D28" s="267"/>
      <c r="E28" s="268"/>
      <c r="F28" s="104">
        <f>N28+F24+F22</f>
        <v>0</v>
      </c>
      <c r="G28" s="105"/>
      <c r="H28" s="105"/>
      <c r="I28" s="106"/>
      <c r="N28" s="107">
        <f>MIN(N30, A28+E28)+C28+D28</f>
        <v>0</v>
      </c>
      <c r="O28" s="138"/>
      <c r="P28" s="226" t="s">
        <v>225</v>
      </c>
      <c r="Q28" s="149"/>
      <c r="R28" s="169">
        <f>MAX(0,R26-R10-R12)</f>
        <v>0</v>
      </c>
      <c r="S28" s="170"/>
      <c r="AC28" s="259">
        <v>0.32</v>
      </c>
      <c r="AD28" s="260">
        <v>201776</v>
      </c>
      <c r="AE28" s="260">
        <v>256225</v>
      </c>
      <c r="AF28" s="260">
        <v>403551</v>
      </c>
      <c r="AG28" s="260">
        <v>512450</v>
      </c>
      <c r="AH28" s="260">
        <v>201776</v>
      </c>
      <c r="AI28" s="260">
        <v>256225</v>
      </c>
      <c r="AJ28" s="260">
        <v>201751</v>
      </c>
      <c r="AK28" s="260">
        <v>256200</v>
      </c>
      <c r="AL28" s="44">
        <v>2026</v>
      </c>
      <c r="AM28" s="20"/>
      <c r="AN28" s="81"/>
      <c r="AO28" s="262" t="s">
        <v>68</v>
      </c>
      <c r="AP28" s="81"/>
      <c r="AQ28" s="81"/>
      <c r="AR28" s="20"/>
      <c r="AS28" s="20"/>
      <c r="AT28" s="20"/>
      <c r="AU28" s="20"/>
      <c r="AV28" s="20"/>
      <c r="AW28" s="20"/>
      <c r="AX28" s="20"/>
      <c r="AY28" s="20"/>
      <c r="AZ28" s="20"/>
      <c r="BA28" s="216" t="s">
        <v>194</v>
      </c>
      <c r="BB28" s="216"/>
      <c r="BC28" s="216"/>
      <c r="BD28" s="217">
        <f>BD7-SUM(S46:S59)</f>
        <v>0</v>
      </c>
      <c r="BE28" s="109"/>
      <c r="BF28" s="109"/>
      <c r="BG28" s="109"/>
      <c r="BH28" s="20"/>
      <c r="BI28" s="20"/>
      <c r="BJ28" s="20"/>
      <c r="BK28" s="20"/>
      <c r="BL28" s="20"/>
      <c r="BM28" s="20"/>
      <c r="BN28" s="7"/>
    </row>
    <row r="29" spans="1:66" ht="15.6" customHeight="1" x14ac:dyDescent="0.25">
      <c r="A29" s="269" t="s">
        <v>226</v>
      </c>
      <c r="B29" s="270"/>
      <c r="C29" s="269" t="s">
        <v>227</v>
      </c>
      <c r="D29" s="270"/>
      <c r="E29" s="269" t="s">
        <v>228</v>
      </c>
      <c r="F29" s="270"/>
      <c r="G29" s="105"/>
      <c r="H29" s="105"/>
      <c r="I29" s="106"/>
      <c r="N29" s="107"/>
      <c r="O29" s="138"/>
      <c r="AC29" s="44"/>
      <c r="AD29" s="260"/>
      <c r="AE29" s="260"/>
      <c r="AF29" s="260"/>
      <c r="AG29" s="260"/>
      <c r="AH29" s="260"/>
      <c r="AI29" s="260"/>
      <c r="AJ29" s="260"/>
      <c r="AK29" s="260"/>
      <c r="AL29" s="44"/>
      <c r="AM29" s="20"/>
      <c r="AN29" s="81"/>
      <c r="AO29" s="81"/>
      <c r="AP29" s="81"/>
      <c r="AQ29" s="81"/>
      <c r="AR29" s="20"/>
      <c r="AS29" s="20"/>
      <c r="AT29" s="20"/>
      <c r="AU29" s="20"/>
      <c r="AV29" s="20"/>
      <c r="AW29" s="20"/>
      <c r="AX29" s="20"/>
      <c r="AY29" s="20"/>
      <c r="AZ29" s="20"/>
      <c r="BA29" s="81"/>
      <c r="BB29" s="81"/>
      <c r="BC29" s="81"/>
      <c r="BD29" s="217"/>
      <c r="BE29" s="109"/>
      <c r="BF29" s="109"/>
      <c r="BG29" s="109"/>
      <c r="BH29" s="20"/>
      <c r="BI29" s="20"/>
      <c r="BJ29" s="20"/>
      <c r="BK29" s="20"/>
      <c r="BL29" s="20"/>
      <c r="BM29" s="20"/>
      <c r="BN29" s="7"/>
    </row>
    <row r="30" spans="1:66" ht="15.6" customHeight="1" x14ac:dyDescent="0.25">
      <c r="A30" s="98"/>
      <c r="B30" s="98"/>
      <c r="C30" s="108"/>
      <c r="D30" s="108"/>
      <c r="E30" s="98"/>
      <c r="F30" s="108"/>
      <c r="G30" s="108"/>
      <c r="H30" s="7" t="s">
        <v>164</v>
      </c>
      <c r="M30" s="44">
        <f>IF(L23=75000, M23, 0)</f>
        <v>0</v>
      </c>
      <c r="N30" s="44">
        <f>IF(F5="Single",40000,IF(F5="MFJ",40000,IF(F5="MFS",20000,IF(F5="HH",40000,0))))</f>
        <v>40000</v>
      </c>
      <c r="O30" s="109"/>
      <c r="AB30" s="271"/>
      <c r="AC30" s="259">
        <v>0.35</v>
      </c>
      <c r="AD30" s="260">
        <v>256226</v>
      </c>
      <c r="AE30" s="260">
        <v>640600</v>
      </c>
      <c r="AF30" s="260">
        <v>512450</v>
      </c>
      <c r="AG30" s="260">
        <v>768700</v>
      </c>
      <c r="AH30" s="260">
        <v>256226</v>
      </c>
      <c r="AI30" s="260">
        <v>640600</v>
      </c>
      <c r="AJ30" s="260">
        <v>256201</v>
      </c>
      <c r="AK30" s="260">
        <v>640600</v>
      </c>
      <c r="AL30" s="44">
        <v>2026</v>
      </c>
      <c r="AM30" s="20"/>
      <c r="AN30" s="81"/>
      <c r="AO30" s="81"/>
      <c r="AP30" s="81"/>
      <c r="AQ30" s="81"/>
      <c r="AR30" s="20"/>
      <c r="AS30" s="20"/>
      <c r="AT30" s="20"/>
      <c r="AU30" s="20"/>
      <c r="AV30" s="20"/>
      <c r="AW30" s="20"/>
      <c r="AX30" s="20"/>
      <c r="AY30" s="20"/>
      <c r="AZ30" s="20"/>
      <c r="BA30" s="245"/>
      <c r="BB30" s="245"/>
      <c r="BC30" s="245"/>
      <c r="BD30" s="220"/>
      <c r="BE30" s="109"/>
      <c r="BF30" s="109"/>
      <c r="BG30" s="109"/>
      <c r="BH30" s="20"/>
      <c r="BI30" s="20"/>
      <c r="BJ30" s="20"/>
      <c r="BK30" s="20"/>
      <c r="BL30" s="20"/>
      <c r="BM30" s="20"/>
      <c r="BN30" s="7"/>
    </row>
    <row r="31" spans="1:66" ht="15.6" hidden="1" customHeight="1" x14ac:dyDescent="0.25">
      <c r="A31" s="147" t="s">
        <v>229</v>
      </c>
      <c r="B31" s="272"/>
      <c r="C31" s="148"/>
      <c r="D31" s="148"/>
      <c r="E31" s="273">
        <f>B29</f>
        <v>0</v>
      </c>
      <c r="F31" s="110">
        <f>MIN(F32, E31)</f>
        <v>0</v>
      </c>
      <c r="G31" s="111">
        <f>MIN(F31, E31)</f>
        <v>0</v>
      </c>
      <c r="I31">
        <f>V6</f>
        <v>394600</v>
      </c>
      <c r="O31" s="109"/>
      <c r="AC31" s="259">
        <v>0.37</v>
      </c>
      <c r="AD31" s="260">
        <v>640601</v>
      </c>
      <c r="AE31" s="274" t="s">
        <v>165</v>
      </c>
      <c r="AF31" s="260">
        <v>768701</v>
      </c>
      <c r="AG31" s="274" t="s">
        <v>165</v>
      </c>
      <c r="AH31" s="260">
        <v>640601</v>
      </c>
      <c r="AI31" s="274" t="s">
        <v>165</v>
      </c>
      <c r="AJ31" s="260">
        <v>640601</v>
      </c>
      <c r="AK31" s="274" t="s">
        <v>165</v>
      </c>
      <c r="AL31" s="44">
        <v>2026</v>
      </c>
      <c r="AM31" s="20"/>
      <c r="AN31" s="81"/>
      <c r="AO31" s="81"/>
      <c r="AP31" s="81"/>
      <c r="AQ31" s="81"/>
      <c r="AR31" s="20">
        <v>10927.2</v>
      </c>
      <c r="AS31" s="113">
        <f>(C7+C8)*0.0145</f>
        <v>0</v>
      </c>
      <c r="AT31" s="20"/>
      <c r="AU31" s="20"/>
      <c r="AV31" s="20"/>
      <c r="AW31" s="20"/>
      <c r="AX31" s="20"/>
      <c r="AY31" s="20"/>
      <c r="AZ31" s="20"/>
      <c r="BA31" s="20"/>
      <c r="BE31" s="20"/>
      <c r="BF31" s="20"/>
      <c r="BG31" s="81"/>
      <c r="BH31" s="81"/>
    </row>
    <row r="32" spans="1:66" ht="15.6" hidden="1" customHeight="1" x14ac:dyDescent="0.25">
      <c r="A32" s="98"/>
      <c r="B32" s="98"/>
      <c r="C32" s="108"/>
      <c r="D32" s="108"/>
      <c r="E32" s="98"/>
      <c r="F32" s="112">
        <f>MAX(0, I33 - (TRUNC(MAX(0, F18 - I32) / 1000, 0) * 100))</f>
        <v>25000</v>
      </c>
      <c r="G32" s="108"/>
      <c r="I32">
        <f>IF(F5="Single",150000,IF(F5="MFJ",300000,IF(F5="MFS",150000,IF(F5="HH",150000,13850))))</f>
        <v>300000</v>
      </c>
      <c r="O32" s="109"/>
      <c r="P32" s="20"/>
      <c r="Q32" s="20"/>
      <c r="R32" s="20"/>
      <c r="S32" s="20"/>
      <c r="AC32" s="259">
        <v>0.1</v>
      </c>
      <c r="AD32" s="260">
        <v>0</v>
      </c>
      <c r="AE32" s="260">
        <v>11925</v>
      </c>
      <c r="AF32" s="260">
        <v>0</v>
      </c>
      <c r="AG32" s="260">
        <v>23850</v>
      </c>
      <c r="AH32" s="260">
        <v>0</v>
      </c>
      <c r="AI32" s="260">
        <v>11925</v>
      </c>
      <c r="AJ32" s="260">
        <v>0</v>
      </c>
      <c r="AK32" s="260">
        <v>17000</v>
      </c>
      <c r="AL32" s="44">
        <v>2025</v>
      </c>
      <c r="AM32" s="20"/>
      <c r="AN32" s="81"/>
      <c r="AO32" s="81"/>
      <c r="AP32" s="81"/>
      <c r="AQ32" s="81"/>
      <c r="AR32" s="113">
        <f>C7*0.062</f>
        <v>0</v>
      </c>
      <c r="AS32" s="113">
        <f>C8*0.062</f>
        <v>0</v>
      </c>
      <c r="AT32" s="20"/>
      <c r="AU32" s="20"/>
      <c r="AV32" s="20"/>
      <c r="AW32" s="20"/>
      <c r="AX32" s="20"/>
      <c r="AY32" s="20"/>
      <c r="AZ32" s="20"/>
      <c r="BA32" s="20"/>
      <c r="BE32" s="20"/>
      <c r="BF32" s="20"/>
      <c r="BG32" s="81"/>
      <c r="BH32" s="81"/>
    </row>
    <row r="33" spans="1:60" ht="15.6" hidden="1" customHeight="1" x14ac:dyDescent="0.25">
      <c r="A33" s="147" t="s">
        <v>167</v>
      </c>
      <c r="B33" s="272"/>
      <c r="C33" s="148"/>
      <c r="D33" s="148"/>
      <c r="E33" s="273">
        <f>D29</f>
        <v>0</v>
      </c>
      <c r="F33" s="110">
        <f>MIN(F34, E33)</f>
        <v>0</v>
      </c>
      <c r="G33" s="111">
        <f>MIN(F33, E33)</f>
        <v>0</v>
      </c>
      <c r="I33">
        <f>IF(F5="Single",12500,IF(F5="MFJ",25000,IF(F5="MFS",12500,IF(F5="HH",12500,13850))))</f>
        <v>25000</v>
      </c>
      <c r="O33" s="109"/>
      <c r="P33" s="20"/>
      <c r="Q33" s="20"/>
      <c r="R33" s="20"/>
      <c r="S33" s="20"/>
      <c r="AC33" s="259">
        <v>0.12</v>
      </c>
      <c r="AD33" s="260">
        <v>11926</v>
      </c>
      <c r="AE33" s="260">
        <v>48475</v>
      </c>
      <c r="AF33" s="260">
        <v>23851</v>
      </c>
      <c r="AG33" s="260">
        <v>96950</v>
      </c>
      <c r="AH33" s="260">
        <v>11926</v>
      </c>
      <c r="AI33" s="260">
        <v>48475</v>
      </c>
      <c r="AJ33" s="260">
        <v>17001</v>
      </c>
      <c r="AK33" s="260">
        <v>64850</v>
      </c>
      <c r="AL33" s="44">
        <v>2025</v>
      </c>
      <c r="AM33" s="20"/>
      <c r="AN33" s="81"/>
      <c r="AO33" s="81"/>
      <c r="AP33" s="81"/>
      <c r="AQ33" s="81"/>
      <c r="AR33" s="20"/>
      <c r="AS33" s="20"/>
      <c r="AT33" s="20"/>
      <c r="AU33" s="20"/>
      <c r="AV33" s="20"/>
      <c r="AW33" s="20"/>
      <c r="AX33" s="20"/>
      <c r="AY33" s="20"/>
      <c r="AZ33" s="20"/>
      <c r="BA33" s="20"/>
      <c r="BE33" s="20"/>
      <c r="BF33" s="20"/>
      <c r="BG33" s="81"/>
      <c r="BH33" s="81"/>
    </row>
    <row r="34" spans="1:60" ht="15.6" hidden="1" customHeight="1" x14ac:dyDescent="0.25">
      <c r="A34" s="98"/>
      <c r="B34" s="98"/>
      <c r="C34" s="108"/>
      <c r="D34" s="108"/>
      <c r="E34" s="98"/>
      <c r="F34" s="114">
        <f>MAX(0, 25000 - (TRUNC(MAX(0, F18 - I34) / 1000, 0) * 100))</f>
        <v>25000</v>
      </c>
      <c r="G34" s="108"/>
      <c r="I34" s="115">
        <f>IF(F5="Single",150000,IF(F5="MFJ",300000,IF(F5="MFS",150000,IF(F5="HH",150000,13850))))</f>
        <v>300000</v>
      </c>
      <c r="O34" s="109"/>
      <c r="P34" s="20"/>
      <c r="Q34" s="20"/>
      <c r="R34" s="20"/>
      <c r="S34" s="20"/>
      <c r="AC34" s="259">
        <v>0.22</v>
      </c>
      <c r="AD34" s="260">
        <v>48476</v>
      </c>
      <c r="AE34" s="260">
        <v>103350</v>
      </c>
      <c r="AF34" s="260">
        <v>96951</v>
      </c>
      <c r="AG34" s="260">
        <v>206700</v>
      </c>
      <c r="AH34" s="260">
        <v>48476</v>
      </c>
      <c r="AI34" s="260">
        <v>103350</v>
      </c>
      <c r="AJ34" s="260">
        <v>64851</v>
      </c>
      <c r="AK34" s="260">
        <v>103350</v>
      </c>
      <c r="AL34" s="44">
        <v>2025</v>
      </c>
      <c r="AM34" s="20"/>
      <c r="AN34" s="81"/>
      <c r="AO34" s="81"/>
      <c r="AP34" s="81"/>
      <c r="AQ34" s="81"/>
      <c r="AR34" s="20"/>
      <c r="AS34" s="20"/>
      <c r="AT34" s="20"/>
      <c r="AU34" s="20"/>
      <c r="AV34" s="20"/>
      <c r="AW34" s="20"/>
      <c r="AX34" s="20"/>
      <c r="AY34" s="20"/>
      <c r="AZ34" s="20"/>
      <c r="BA34" s="20"/>
      <c r="BE34" s="20"/>
      <c r="BF34" s="20"/>
      <c r="BG34" s="81"/>
      <c r="BH34" s="81"/>
    </row>
    <row r="35" spans="1:60" ht="15.6" hidden="1" customHeight="1" x14ac:dyDescent="0.25">
      <c r="A35" s="147" t="s">
        <v>170</v>
      </c>
      <c r="B35" s="272"/>
      <c r="C35" s="148"/>
      <c r="D35" s="148"/>
      <c r="E35" s="273">
        <f>F29</f>
        <v>0</v>
      </c>
      <c r="F35" s="110">
        <f>MIN(F44, E35)</f>
        <v>0</v>
      </c>
      <c r="G35" s="111">
        <f>MIN(F35, E35)</f>
        <v>0</v>
      </c>
      <c r="I35">
        <v>10000</v>
      </c>
      <c r="O35" s="109"/>
      <c r="P35" s="20"/>
      <c r="Q35" s="20"/>
      <c r="R35" s="20"/>
      <c r="S35" s="20"/>
      <c r="AC35" s="259">
        <v>0.24</v>
      </c>
      <c r="AD35" s="260">
        <v>103351</v>
      </c>
      <c r="AE35" s="260">
        <v>197300</v>
      </c>
      <c r="AF35" s="260">
        <v>206701</v>
      </c>
      <c r="AG35" s="260">
        <v>394600</v>
      </c>
      <c r="AH35" s="260">
        <v>103351</v>
      </c>
      <c r="AI35" s="260">
        <v>197300</v>
      </c>
      <c r="AJ35" s="260">
        <v>103351</v>
      </c>
      <c r="AK35" s="260">
        <v>197300</v>
      </c>
      <c r="AL35" s="44">
        <v>2025</v>
      </c>
      <c r="AM35" s="20"/>
      <c r="AN35" s="81"/>
      <c r="AO35" s="81"/>
      <c r="AP35" s="81"/>
      <c r="AQ35" s="81"/>
      <c r="AR35" s="20"/>
      <c r="AS35" s="20"/>
      <c r="AT35" s="20"/>
      <c r="AU35" s="20"/>
      <c r="AV35" s="20"/>
      <c r="AW35" s="20"/>
      <c r="AX35" s="20"/>
      <c r="AY35" s="20"/>
      <c r="AZ35" s="20"/>
      <c r="BA35" s="20"/>
      <c r="BE35" s="20"/>
      <c r="BF35" s="20"/>
      <c r="BG35" s="81"/>
      <c r="BH35" s="81"/>
    </row>
    <row r="36" spans="1:60" ht="15.6" hidden="1" customHeight="1" x14ac:dyDescent="0.25">
      <c r="A36" s="98"/>
      <c r="B36" s="98"/>
      <c r="C36" s="275"/>
      <c r="D36" s="275"/>
      <c r="E36" s="123"/>
      <c r="F36" s="123"/>
      <c r="G36" s="276"/>
      <c r="O36" s="109"/>
      <c r="P36" s="20"/>
      <c r="Q36" s="20"/>
      <c r="R36" s="20"/>
      <c r="S36" s="20"/>
      <c r="AC36" s="259">
        <v>0.32</v>
      </c>
      <c r="AD36" s="260">
        <v>197301</v>
      </c>
      <c r="AE36" s="260">
        <v>250525</v>
      </c>
      <c r="AF36" s="260">
        <v>394601</v>
      </c>
      <c r="AG36" s="260">
        <v>500050</v>
      </c>
      <c r="AH36" s="260">
        <v>197301</v>
      </c>
      <c r="AI36" s="260">
        <v>250525</v>
      </c>
      <c r="AJ36" s="260">
        <v>197301</v>
      </c>
      <c r="AK36" s="260">
        <v>250500</v>
      </c>
      <c r="AL36" s="44">
        <v>2025</v>
      </c>
      <c r="AM36" s="20"/>
      <c r="AN36" s="81"/>
      <c r="AO36" s="81"/>
      <c r="AP36" s="81"/>
      <c r="AQ36" s="81"/>
      <c r="AR36" s="20"/>
      <c r="AS36" s="20"/>
      <c r="AT36" s="20"/>
      <c r="AU36" s="20"/>
      <c r="AV36" s="20"/>
      <c r="AW36" s="20"/>
      <c r="AX36" s="20"/>
      <c r="AY36" s="20"/>
      <c r="AZ36" s="20"/>
      <c r="BA36" s="20"/>
      <c r="BE36" s="20"/>
      <c r="BF36" s="20"/>
      <c r="BG36" s="81"/>
      <c r="BH36" s="81"/>
    </row>
    <row r="37" spans="1:60" ht="15.6" hidden="1" customHeight="1" x14ac:dyDescent="0.25">
      <c r="A37" s="120"/>
      <c r="B37" s="120"/>
      <c r="C37" s="277"/>
      <c r="D37" s="277"/>
      <c r="E37" s="278"/>
      <c r="F37" s="278"/>
      <c r="G37" s="276"/>
      <c r="O37" s="109"/>
      <c r="P37" s="20"/>
      <c r="Q37" s="20"/>
      <c r="R37" s="20"/>
      <c r="S37" s="20"/>
      <c r="AC37" s="259">
        <v>0.35</v>
      </c>
      <c r="AD37" s="260">
        <v>250526</v>
      </c>
      <c r="AE37" s="260">
        <v>626350</v>
      </c>
      <c r="AF37" s="260">
        <v>501051</v>
      </c>
      <c r="AG37" s="260">
        <v>751600</v>
      </c>
      <c r="AH37" s="260">
        <v>250526</v>
      </c>
      <c r="AI37" s="260">
        <v>626350</v>
      </c>
      <c r="AJ37" s="260">
        <v>250501</v>
      </c>
      <c r="AK37" s="260">
        <v>626350</v>
      </c>
      <c r="AL37" s="44">
        <v>2025</v>
      </c>
      <c r="AM37" s="20"/>
      <c r="AN37" s="81"/>
      <c r="AO37" s="81"/>
      <c r="AP37" s="81"/>
      <c r="AQ37" s="81"/>
      <c r="AR37" s="20"/>
      <c r="AS37" s="20"/>
      <c r="AT37" s="20"/>
      <c r="AU37" s="20"/>
      <c r="AV37" s="20"/>
      <c r="AW37" s="20"/>
      <c r="AX37" s="20"/>
      <c r="AY37" s="20"/>
      <c r="AZ37" s="20"/>
      <c r="BA37" s="20"/>
      <c r="BE37" s="20"/>
      <c r="BF37" s="20"/>
      <c r="BG37" s="81"/>
      <c r="BH37" s="81"/>
    </row>
    <row r="38" spans="1:60" ht="15.6" hidden="1" customHeight="1" x14ac:dyDescent="0.25">
      <c r="A38" s="120"/>
      <c r="B38" s="120"/>
      <c r="C38" s="277"/>
      <c r="D38" s="277"/>
      <c r="E38" s="278"/>
      <c r="F38" s="278"/>
      <c r="G38" s="276"/>
      <c r="O38" s="109"/>
      <c r="P38" s="20"/>
      <c r="Q38" s="20"/>
      <c r="R38" s="20"/>
      <c r="S38" s="20"/>
      <c r="AC38" s="259">
        <v>0.37</v>
      </c>
      <c r="AD38" s="260">
        <v>626350</v>
      </c>
      <c r="AE38" s="274" t="s">
        <v>165</v>
      </c>
      <c r="AF38" s="260">
        <v>751600</v>
      </c>
      <c r="AG38" s="274" t="s">
        <v>165</v>
      </c>
      <c r="AH38" s="260">
        <v>626350</v>
      </c>
      <c r="AI38" s="274" t="s">
        <v>165</v>
      </c>
      <c r="AJ38" s="260">
        <v>626351</v>
      </c>
      <c r="AK38" s="274" t="s">
        <v>165</v>
      </c>
      <c r="AL38" s="44">
        <v>2025</v>
      </c>
      <c r="AM38" s="20"/>
      <c r="AN38" s="81"/>
      <c r="AO38" s="81"/>
      <c r="AP38" s="81"/>
      <c r="AQ38" s="81"/>
      <c r="AR38" s="20"/>
      <c r="AS38" s="20"/>
      <c r="AT38" s="20"/>
      <c r="AU38" s="20"/>
      <c r="AV38" s="20"/>
      <c r="AW38" s="20"/>
      <c r="AX38" s="20"/>
      <c r="AY38" s="20"/>
      <c r="AZ38" s="20"/>
      <c r="BA38" s="20"/>
      <c r="BE38" s="20"/>
      <c r="BF38" s="20"/>
      <c r="BG38" s="81"/>
      <c r="BH38" s="81"/>
    </row>
    <row r="39" spans="1:60" ht="15.6" hidden="1" customHeight="1" x14ac:dyDescent="0.25">
      <c r="A39" s="120"/>
      <c r="B39" s="120"/>
      <c r="C39" s="277"/>
      <c r="D39" s="277"/>
      <c r="E39" s="278"/>
      <c r="F39" s="278"/>
      <c r="G39" s="276"/>
      <c r="O39" s="109"/>
      <c r="P39" s="20"/>
      <c r="Q39" s="20"/>
      <c r="R39" s="20"/>
      <c r="S39" s="20"/>
      <c r="AC39" s="259">
        <v>0.1</v>
      </c>
      <c r="AD39" s="260">
        <v>0</v>
      </c>
      <c r="AE39" s="260">
        <v>11600</v>
      </c>
      <c r="AF39" s="260">
        <v>0</v>
      </c>
      <c r="AG39" s="260">
        <v>23200</v>
      </c>
      <c r="AH39" s="260">
        <v>0</v>
      </c>
      <c r="AI39" s="260">
        <v>11600</v>
      </c>
      <c r="AJ39" s="260">
        <v>0</v>
      </c>
      <c r="AK39" s="260">
        <v>16550</v>
      </c>
      <c r="AL39" s="44">
        <v>2024</v>
      </c>
      <c r="AM39" s="20"/>
      <c r="AN39" s="81"/>
      <c r="AO39" s="81"/>
      <c r="AP39" s="81"/>
      <c r="AQ39" s="81"/>
      <c r="AR39" s="20"/>
      <c r="AS39" s="20"/>
      <c r="AT39" s="20"/>
      <c r="AU39" s="20"/>
      <c r="AV39" s="20"/>
      <c r="AW39" s="20"/>
      <c r="AX39" s="20"/>
      <c r="AY39" s="20"/>
      <c r="AZ39" s="20"/>
      <c r="BA39" s="20"/>
      <c r="BE39" s="20"/>
      <c r="BF39" s="20"/>
      <c r="BG39" s="81"/>
      <c r="BH39" s="81"/>
    </row>
    <row r="40" spans="1:60" ht="15.6" hidden="1" customHeight="1" x14ac:dyDescent="0.25">
      <c r="A40" s="120"/>
      <c r="B40" s="120"/>
      <c r="C40" s="277"/>
      <c r="D40" s="277"/>
      <c r="E40" s="278"/>
      <c r="F40" s="278"/>
      <c r="G40" s="276"/>
      <c r="O40" s="109"/>
      <c r="P40" s="20"/>
      <c r="Q40" s="20"/>
      <c r="R40" s="20"/>
      <c r="S40" s="20"/>
      <c r="AC40" s="259">
        <v>0.12</v>
      </c>
      <c r="AD40" s="260">
        <v>11601</v>
      </c>
      <c r="AE40" s="260">
        <v>47150</v>
      </c>
      <c r="AF40" s="260">
        <v>23201</v>
      </c>
      <c r="AG40" s="260">
        <v>94300</v>
      </c>
      <c r="AH40" s="260">
        <v>11601</v>
      </c>
      <c r="AI40" s="260">
        <v>47150</v>
      </c>
      <c r="AJ40" s="260">
        <v>16551</v>
      </c>
      <c r="AK40" s="260">
        <v>63100</v>
      </c>
      <c r="AL40" s="44">
        <v>2024</v>
      </c>
      <c r="AM40" s="20"/>
      <c r="AN40" s="81"/>
      <c r="AO40" s="81"/>
      <c r="AP40" s="81"/>
      <c r="AQ40" s="81"/>
      <c r="AR40" s="20"/>
      <c r="AS40" s="20"/>
      <c r="AT40" s="20"/>
      <c r="AU40" s="20"/>
      <c r="AV40" s="20"/>
      <c r="AW40" s="20"/>
      <c r="AX40" s="20"/>
      <c r="AY40" s="20"/>
      <c r="AZ40" s="20"/>
      <c r="BA40" s="20"/>
      <c r="BE40" s="20"/>
      <c r="BF40" s="20"/>
      <c r="BG40" s="81"/>
      <c r="BH40" s="81"/>
    </row>
    <row r="41" spans="1:60" ht="15.6" hidden="1" customHeight="1" x14ac:dyDescent="0.25">
      <c r="A41" s="120"/>
      <c r="B41" s="120"/>
      <c r="C41" s="277"/>
      <c r="D41" s="277"/>
      <c r="E41" s="278"/>
      <c r="F41" s="278"/>
      <c r="G41" s="276"/>
      <c r="O41" s="109"/>
      <c r="P41" s="20"/>
      <c r="Q41" s="20"/>
      <c r="R41" s="20"/>
      <c r="S41" s="20"/>
      <c r="AC41" s="259">
        <v>0.22</v>
      </c>
      <c r="AD41" s="260">
        <v>42751</v>
      </c>
      <c r="AE41" s="260">
        <v>100525</v>
      </c>
      <c r="AF41" s="260">
        <v>94301</v>
      </c>
      <c r="AG41" s="260">
        <v>201050</v>
      </c>
      <c r="AH41" s="260">
        <v>42751</v>
      </c>
      <c r="AI41" s="260">
        <v>100525</v>
      </c>
      <c r="AJ41" s="260">
        <v>63101</v>
      </c>
      <c r="AK41" s="260">
        <v>100500</v>
      </c>
      <c r="AL41" s="44">
        <v>2024</v>
      </c>
      <c r="AM41" s="20"/>
      <c r="AN41" s="81"/>
      <c r="AO41" s="81"/>
      <c r="AP41" s="81"/>
      <c r="AQ41" s="81"/>
      <c r="AR41" s="20"/>
      <c r="AS41" s="20"/>
      <c r="AT41" s="20"/>
      <c r="AU41" s="20"/>
      <c r="AV41" s="20"/>
      <c r="AW41" s="20"/>
      <c r="AX41" s="20"/>
      <c r="AY41" s="20"/>
      <c r="AZ41" s="20"/>
      <c r="BA41" s="20"/>
      <c r="BE41" s="20"/>
      <c r="BF41" s="20"/>
      <c r="BG41" s="81"/>
      <c r="BH41" s="81"/>
    </row>
    <row r="42" spans="1:60" ht="15.6" hidden="1" customHeight="1" x14ac:dyDescent="0.25">
      <c r="A42" s="120"/>
      <c r="B42" s="120"/>
      <c r="C42" s="277"/>
      <c r="D42" s="277"/>
      <c r="E42" s="278"/>
      <c r="F42" s="278"/>
      <c r="G42" s="276"/>
      <c r="O42" s="109"/>
      <c r="P42" s="20"/>
      <c r="Q42" s="20"/>
      <c r="R42" s="20"/>
      <c r="S42" s="20"/>
      <c r="AC42" s="259">
        <v>0.24</v>
      </c>
      <c r="AD42" s="260">
        <v>100526</v>
      </c>
      <c r="AE42" s="260">
        <v>191950</v>
      </c>
      <c r="AF42" s="260">
        <v>201051</v>
      </c>
      <c r="AG42" s="260">
        <v>383900</v>
      </c>
      <c r="AH42" s="260">
        <v>100526</v>
      </c>
      <c r="AI42" s="260">
        <v>191950</v>
      </c>
      <c r="AJ42" s="260">
        <v>100501</v>
      </c>
      <c r="AK42" s="260">
        <v>191950</v>
      </c>
      <c r="AL42" s="44">
        <v>2024</v>
      </c>
      <c r="AM42" s="20"/>
      <c r="AN42" s="81"/>
      <c r="AO42" s="81"/>
      <c r="AP42" s="81"/>
      <c r="AQ42" s="81"/>
      <c r="AR42" s="20"/>
      <c r="AS42" s="20"/>
      <c r="AT42" s="20"/>
      <c r="AU42" s="20"/>
      <c r="AV42" s="20"/>
      <c r="AW42" s="20"/>
      <c r="AX42" s="20"/>
      <c r="AY42" s="20"/>
      <c r="AZ42" s="20"/>
      <c r="BA42" s="20"/>
      <c r="BE42" s="20"/>
      <c r="BF42" s="20"/>
      <c r="BG42" s="81"/>
      <c r="BH42" s="81"/>
    </row>
    <row r="43" spans="1:60" ht="15.6" hidden="1" customHeight="1" x14ac:dyDescent="0.25">
      <c r="A43" s="120"/>
      <c r="B43" s="120"/>
      <c r="C43" s="277"/>
      <c r="D43" s="277"/>
      <c r="E43" s="278"/>
      <c r="F43" s="278"/>
      <c r="G43" s="276"/>
      <c r="O43" s="109"/>
      <c r="P43" s="20"/>
      <c r="Q43" s="20"/>
      <c r="R43" s="20"/>
      <c r="S43" s="20"/>
      <c r="AC43" s="259">
        <v>0.32</v>
      </c>
      <c r="AD43" s="260">
        <v>191951</v>
      </c>
      <c r="AE43" s="260">
        <v>243725</v>
      </c>
      <c r="AF43" s="260">
        <v>383901</v>
      </c>
      <c r="AG43" s="260">
        <v>487450</v>
      </c>
      <c r="AH43" s="260">
        <v>191951</v>
      </c>
      <c r="AI43" s="260">
        <v>243725</v>
      </c>
      <c r="AJ43" s="260">
        <v>191951</v>
      </c>
      <c r="AK43" s="260">
        <v>243700</v>
      </c>
      <c r="AL43" s="44">
        <v>2024</v>
      </c>
      <c r="AM43" s="20"/>
      <c r="AN43" s="81"/>
      <c r="AO43" s="81"/>
      <c r="AP43" s="81"/>
      <c r="AQ43" s="81"/>
      <c r="AR43" s="20"/>
      <c r="AS43" s="20"/>
      <c r="AT43" s="20"/>
      <c r="AU43" s="20"/>
      <c r="AV43" s="20"/>
      <c r="AW43" s="20"/>
      <c r="AX43" s="20"/>
      <c r="AY43" s="20"/>
      <c r="AZ43" s="20"/>
      <c r="BA43" s="20"/>
      <c r="BE43" s="20"/>
      <c r="BF43" s="20"/>
      <c r="BG43" s="81"/>
      <c r="BH43" s="81"/>
    </row>
    <row r="44" spans="1:60" ht="15.6" hidden="1" customHeight="1" x14ac:dyDescent="0.25">
      <c r="A44" s="120"/>
      <c r="B44" s="120"/>
      <c r="C44" s="279"/>
      <c r="D44" s="279"/>
      <c r="E44" s="120"/>
      <c r="F44" s="279">
        <f>MAX(0, I35- (MAX(0, F18 - I44) * 0.2))</f>
        <v>10000</v>
      </c>
      <c r="G44" s="108"/>
      <c r="I44">
        <f>IF(F5="Single",100000,IF(F5="MFJ",200000,IF(F5="MFS",100000,IF(F5="HH",100000,13850))))</f>
        <v>200000</v>
      </c>
      <c r="O44" s="109"/>
      <c r="P44" s="20"/>
      <c r="Q44" s="20"/>
      <c r="R44" s="20"/>
      <c r="S44" s="20"/>
      <c r="AC44" s="259">
        <v>0.35</v>
      </c>
      <c r="AD44" s="260">
        <v>243726</v>
      </c>
      <c r="AE44" s="260">
        <v>609350</v>
      </c>
      <c r="AF44" s="260">
        <v>487451</v>
      </c>
      <c r="AG44" s="260">
        <v>731200</v>
      </c>
      <c r="AH44" s="260">
        <v>243726</v>
      </c>
      <c r="AI44" s="260">
        <v>609350</v>
      </c>
      <c r="AJ44" s="260">
        <v>243701</v>
      </c>
      <c r="AK44" s="260">
        <v>609350</v>
      </c>
      <c r="AL44" s="44">
        <v>2024</v>
      </c>
      <c r="AM44" s="20"/>
      <c r="AN44" s="81"/>
      <c r="AO44" s="81"/>
      <c r="AP44" s="81"/>
      <c r="AQ44" s="81"/>
      <c r="AR44" s="20"/>
      <c r="AS44" s="20"/>
      <c r="AT44" s="20"/>
      <c r="AU44" s="20"/>
      <c r="AV44" s="20"/>
      <c r="AW44" s="20"/>
      <c r="AX44" s="20"/>
      <c r="AY44" s="20"/>
      <c r="AZ44" s="20"/>
      <c r="BA44" s="20"/>
      <c r="BE44" s="20"/>
      <c r="BF44" s="20"/>
      <c r="BG44" s="81"/>
      <c r="BH44" s="81"/>
    </row>
    <row r="45" spans="1:60" ht="15.6" hidden="1" customHeight="1" x14ac:dyDescent="0.25">
      <c r="A45" s="147" t="s">
        <v>172</v>
      </c>
      <c r="B45" s="272"/>
      <c r="C45" s="148"/>
      <c r="D45" s="148"/>
      <c r="E45" s="116">
        <f>((C14+C15+C16+C11)*0.2)</f>
        <v>0</v>
      </c>
      <c r="F45" s="110">
        <f>IF(F18 &lt; I27, E45, V23)</f>
        <v>0</v>
      </c>
      <c r="G45" s="111">
        <f>F45*H5</f>
        <v>0</v>
      </c>
      <c r="H45" s="7" t="s">
        <v>84</v>
      </c>
      <c r="M45" s="44">
        <f>IF(L23=150000, M27, 0)</f>
        <v>0</v>
      </c>
      <c r="O45" s="138"/>
      <c r="P45" s="20"/>
      <c r="Q45" s="20"/>
      <c r="R45" s="20"/>
      <c r="S45" s="20"/>
      <c r="AC45" s="259">
        <v>0.37</v>
      </c>
      <c r="AD45" s="260">
        <v>609351</v>
      </c>
      <c r="AE45" s="274" t="s">
        <v>45</v>
      </c>
      <c r="AF45" s="260">
        <v>731201</v>
      </c>
      <c r="AG45" s="274" t="s">
        <v>165</v>
      </c>
      <c r="AH45" s="260">
        <v>609351</v>
      </c>
      <c r="AI45" s="274" t="s">
        <v>45</v>
      </c>
      <c r="AJ45" s="260">
        <v>609351</v>
      </c>
      <c r="AK45" s="274" t="s">
        <v>165</v>
      </c>
      <c r="AL45" s="44">
        <v>2024</v>
      </c>
      <c r="AM45" s="20"/>
      <c r="AN45" s="81"/>
      <c r="AO45" s="81"/>
      <c r="AP45" s="81"/>
      <c r="AQ45" s="81"/>
      <c r="AR45" s="20"/>
      <c r="AS45" s="20"/>
      <c r="AT45" s="20"/>
      <c r="AU45" s="20"/>
      <c r="AV45" s="20"/>
      <c r="AW45" s="20"/>
      <c r="AX45" s="20"/>
      <c r="AY45" s="20"/>
      <c r="AZ45" s="20"/>
      <c r="BA45" s="20"/>
      <c r="BE45" s="20"/>
      <c r="BF45" s="20"/>
      <c r="BG45" s="81"/>
      <c r="BH45" s="81"/>
    </row>
    <row r="46" spans="1:60" ht="15.6" hidden="1" customHeight="1" x14ac:dyDescent="0.25">
      <c r="A46" s="98"/>
      <c r="B46" s="98"/>
      <c r="C46" s="108"/>
      <c r="D46" s="108"/>
      <c r="E46" s="98"/>
      <c r="F46" s="108"/>
      <c r="G46" s="108"/>
      <c r="H46" s="7" t="s">
        <v>173</v>
      </c>
      <c r="I46">
        <f>IF(F5="Single",48350,IF(F5="MFJ",96700,IF(F5="MFS",48350,IF(F5="HH",64750,13850))))</f>
        <v>96700</v>
      </c>
      <c r="J46">
        <f>IF(F18 &gt; I46, 0.15, 0)</f>
        <v>0</v>
      </c>
      <c r="O46" s="138"/>
      <c r="P46" s="20"/>
      <c r="Q46" s="20"/>
      <c r="R46" s="20"/>
      <c r="S46" s="20"/>
      <c r="AC46" s="20"/>
      <c r="AD46" s="280"/>
      <c r="AE46" s="103"/>
      <c r="AF46" s="280"/>
      <c r="AG46" s="103"/>
      <c r="AH46" s="280"/>
      <c r="AI46" s="103"/>
      <c r="AJ46" s="280"/>
      <c r="AK46" s="103"/>
      <c r="AL46" s="20"/>
      <c r="AM46" s="20"/>
      <c r="AN46" s="81"/>
      <c r="AO46" s="81"/>
      <c r="AP46" s="81"/>
      <c r="AQ46" s="81"/>
      <c r="AR46" s="20"/>
      <c r="AS46" s="20"/>
      <c r="AT46" s="20"/>
      <c r="AU46" s="20"/>
      <c r="AV46" s="20"/>
      <c r="AW46" s="20"/>
      <c r="AX46" s="20"/>
      <c r="AY46" s="20"/>
      <c r="AZ46" s="20"/>
      <c r="BA46" s="20"/>
      <c r="BE46" s="20"/>
      <c r="BF46" s="20"/>
      <c r="BG46" s="81"/>
      <c r="BH46" s="81"/>
    </row>
    <row r="47" spans="1:60" ht="15.6" hidden="1" customHeight="1" x14ac:dyDescent="0.25">
      <c r="A47" s="250" t="s">
        <v>175</v>
      </c>
      <c r="B47" s="281"/>
      <c r="C47" s="282"/>
      <c r="D47" s="282"/>
      <c r="E47" s="283"/>
      <c r="F47" s="110">
        <f>F18-N26-F31-F33-F35-B13-F45</f>
        <v>-31500</v>
      </c>
      <c r="G47" s="117">
        <f>G18-G27-G45-F11-F12-F14</f>
        <v>-13850</v>
      </c>
      <c r="H47" s="7" t="s">
        <v>176</v>
      </c>
      <c r="I47">
        <f>IF(F5="Single",533400,IF(F5="MFJ",600050,IF(F5="MFS",300000,IF(F5="HH",566700,13850))))</f>
        <v>600050</v>
      </c>
      <c r="J47">
        <f>IF(F18 &gt; I47, 0.05, 0)</f>
        <v>0</v>
      </c>
      <c r="P47" s="20"/>
      <c r="Q47" s="20"/>
      <c r="R47" s="20"/>
      <c r="S47" s="20"/>
      <c r="AC47" s="20"/>
      <c r="AD47" s="20"/>
      <c r="AE47" s="20"/>
      <c r="AF47" s="20"/>
      <c r="AG47" s="20"/>
      <c r="AH47" s="20"/>
      <c r="AI47" s="20"/>
      <c r="AJ47" s="20"/>
      <c r="AK47" s="20"/>
      <c r="AL47" s="20"/>
      <c r="AM47" s="20"/>
      <c r="AN47" s="81"/>
      <c r="AO47" s="81"/>
      <c r="AP47" s="81"/>
      <c r="AQ47" s="81"/>
      <c r="AR47" s="20"/>
      <c r="AS47" s="20"/>
      <c r="AT47" s="20"/>
      <c r="AU47" s="20"/>
      <c r="AV47" s="20"/>
      <c r="AW47" s="20"/>
      <c r="AX47" s="20"/>
      <c r="AY47" s="20"/>
      <c r="AZ47" s="20"/>
      <c r="BA47" s="20"/>
      <c r="BE47" s="20"/>
      <c r="BF47" s="20"/>
      <c r="BG47" s="81"/>
      <c r="BH47" s="81"/>
    </row>
    <row r="48" spans="1:60" ht="15.6" hidden="1" customHeight="1" x14ac:dyDescent="0.25">
      <c r="A48" s="98"/>
      <c r="B48" s="98"/>
      <c r="C48" s="108"/>
      <c r="D48" s="108"/>
      <c r="E48" s="98"/>
      <c r="F48" s="98"/>
      <c r="G48" s="98"/>
      <c r="H48" s="7" t="s">
        <v>178</v>
      </c>
      <c r="O48" s="109"/>
      <c r="P48" s="20"/>
      <c r="Q48" s="20"/>
      <c r="R48" s="20"/>
      <c r="S48" s="20"/>
      <c r="AC48" s="20"/>
      <c r="AD48" s="20"/>
      <c r="AE48" s="20"/>
      <c r="AF48" s="20"/>
      <c r="AG48" s="20"/>
      <c r="AH48" s="20"/>
      <c r="AI48" s="20"/>
      <c r="AJ48" s="20"/>
      <c r="AK48" s="20"/>
      <c r="AL48" s="20"/>
      <c r="AM48" s="20"/>
      <c r="AN48" s="81"/>
      <c r="AO48" s="81"/>
      <c r="AP48" s="81"/>
      <c r="AQ48" s="81"/>
      <c r="AR48" s="20"/>
      <c r="AS48" s="20"/>
      <c r="AT48" s="20"/>
      <c r="AU48" s="20"/>
      <c r="AV48" s="20"/>
      <c r="AW48" s="20"/>
      <c r="AX48" s="20"/>
      <c r="AY48" s="20"/>
      <c r="AZ48" s="20"/>
      <c r="BA48" s="20"/>
      <c r="BE48" s="20"/>
      <c r="BF48" s="20"/>
      <c r="BG48" s="81"/>
      <c r="BH48" s="81"/>
    </row>
    <row r="49" spans="1:60" ht="15.6" hidden="1" customHeight="1" x14ac:dyDescent="0.25">
      <c r="A49" s="147" t="s">
        <v>230</v>
      </c>
      <c r="B49" s="272"/>
      <c r="C49" s="148"/>
      <c r="D49" s="118">
        <v>0</v>
      </c>
      <c r="E49" s="119">
        <f>(B13*J46)+(B13*J47)</f>
        <v>0</v>
      </c>
      <c r="F49" s="110">
        <f>MAX(E49,D49)</f>
        <v>0</v>
      </c>
      <c r="G49" s="110">
        <f>F49</f>
        <v>0</v>
      </c>
      <c r="H49" s="7" t="s">
        <v>180</v>
      </c>
      <c r="O49" s="138"/>
      <c r="P49" s="20"/>
      <c r="Q49" s="20"/>
      <c r="R49" s="20"/>
      <c r="S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E49" s="20"/>
      <c r="BF49" s="20"/>
      <c r="BG49" s="81"/>
      <c r="BH49" s="81"/>
    </row>
    <row r="50" spans="1:60" ht="15.6" hidden="1" customHeight="1" x14ac:dyDescent="0.25">
      <c r="A50" s="120">
        <f>AU21</f>
        <v>176100</v>
      </c>
      <c r="B50" s="120"/>
      <c r="C50" s="121">
        <f>C15*0.9235</f>
        <v>0</v>
      </c>
      <c r="D50" s="284">
        <f>C50*0.124</f>
        <v>0</v>
      </c>
      <c r="E50" s="285">
        <f>($A$50-C7-F11)*0.124</f>
        <v>21836.400000000001</v>
      </c>
      <c r="F50" s="122"/>
      <c r="G50" s="123"/>
      <c r="H50" s="7" t="s">
        <v>182</v>
      </c>
      <c r="O50" s="109"/>
      <c r="P50" s="20"/>
      <c r="Q50" s="20"/>
      <c r="R50" s="20"/>
      <c r="S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E50" s="20"/>
      <c r="BF50" s="20"/>
      <c r="BG50" s="81"/>
      <c r="BH50" s="81"/>
    </row>
    <row r="51" spans="1:60" ht="15.6" hidden="1" customHeight="1" x14ac:dyDescent="0.25">
      <c r="A51" s="124"/>
      <c r="B51" s="124"/>
      <c r="C51" s="121">
        <f>C16*0.9235</f>
        <v>0</v>
      </c>
      <c r="D51" s="125">
        <f>C51*0.124</f>
        <v>0</v>
      </c>
      <c r="E51" s="126">
        <f>($A$50-C8-F12)*0.124</f>
        <v>21836.400000000001</v>
      </c>
      <c r="F51" s="122">
        <f>IF(D52&lt;0, 0, D52)</f>
        <v>0</v>
      </c>
      <c r="G51" s="123"/>
      <c r="O51" s="109"/>
      <c r="P51" s="20"/>
      <c r="Q51" s="20"/>
      <c r="R51" s="20"/>
      <c r="S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E51" s="20"/>
      <c r="BF51" s="20"/>
      <c r="BG51" s="81"/>
      <c r="BH51" s="81"/>
    </row>
    <row r="52" spans="1:60" ht="15.6" hidden="1" customHeight="1" x14ac:dyDescent="0.25">
      <c r="A52" s="147" t="s">
        <v>231</v>
      </c>
      <c r="B52" s="272"/>
      <c r="C52" s="148"/>
      <c r="D52" s="127">
        <f>MIN(D50,E50)+MIN(D51,E51)</f>
        <v>0</v>
      </c>
      <c r="E52" s="286">
        <f>(C50+C51)*0.029</f>
        <v>0</v>
      </c>
      <c r="F52" s="110">
        <f>E52+F51+L15</f>
        <v>0</v>
      </c>
      <c r="G52" s="110">
        <f>F52</f>
        <v>0</v>
      </c>
      <c r="H52" s="7" t="s">
        <v>185</v>
      </c>
      <c r="L52" s="57"/>
      <c r="O52" s="138"/>
      <c r="P52" s="20"/>
      <c r="Q52" s="20"/>
      <c r="R52" s="20"/>
      <c r="S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E52" s="20"/>
      <c r="BF52" s="20"/>
      <c r="BG52" s="81"/>
      <c r="BH52" s="81"/>
    </row>
    <row r="53" spans="1:60" ht="15.6" hidden="1" customHeight="1" x14ac:dyDescent="0.25">
      <c r="A53" s="124"/>
      <c r="B53" s="124"/>
      <c r="C53" s="124"/>
      <c r="D53" s="124"/>
      <c r="E53" s="124"/>
      <c r="F53" s="128">
        <f>IF(F18 &gt; I54, E54, 0)</f>
        <v>0</v>
      </c>
      <c r="G53" s="129"/>
      <c r="H53" s="7" t="s">
        <v>187</v>
      </c>
      <c r="O53" s="109"/>
      <c r="P53" s="20"/>
      <c r="Q53" s="20"/>
      <c r="R53" s="20"/>
      <c r="S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E53" s="20"/>
      <c r="BF53" s="20"/>
      <c r="BG53" s="81"/>
      <c r="BH53" s="81"/>
    </row>
    <row r="54" spans="1:60" ht="15.6" hidden="1" customHeight="1" x14ac:dyDescent="0.25">
      <c r="A54" s="147" t="s">
        <v>189</v>
      </c>
      <c r="B54" s="272"/>
      <c r="C54" s="148"/>
      <c r="D54" s="148"/>
      <c r="E54" s="130">
        <f>(C9+C11+C12+C13)*0.038</f>
        <v>0</v>
      </c>
      <c r="F54" s="110">
        <f>IF(F18&gt;0,F53,0)</f>
        <v>0</v>
      </c>
      <c r="G54" s="110">
        <f>F54</f>
        <v>0</v>
      </c>
      <c r="I54">
        <f>IF(F5="Single",200000,IF(F5="MFJ",250000,IF(F5="MFS",200000,IF(F5="HH",200000,13850))))</f>
        <v>250000</v>
      </c>
      <c r="P54" s="20"/>
      <c r="Q54" s="20"/>
      <c r="R54" s="20"/>
      <c r="S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E54" s="20"/>
      <c r="BF54" s="20"/>
      <c r="BG54" s="81"/>
      <c r="BH54" s="81"/>
    </row>
    <row r="55" spans="1:60" ht="15.6" hidden="1" customHeight="1" x14ac:dyDescent="0.25">
      <c r="A55" s="131"/>
      <c r="B55" s="131"/>
      <c r="C55" s="131"/>
      <c r="D55" s="131"/>
      <c r="E55" s="131"/>
      <c r="F55" s="132"/>
      <c r="G55" s="132"/>
      <c r="P55" s="20"/>
      <c r="Q55" s="20"/>
      <c r="R55" s="20"/>
      <c r="S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E55" s="20"/>
      <c r="BF55" s="20"/>
      <c r="BG55" s="81"/>
      <c r="BH55" s="81"/>
    </row>
    <row r="56" spans="1:60" ht="15.6" hidden="1" customHeight="1" x14ac:dyDescent="0.25">
      <c r="A56" s="157" t="s">
        <v>191</v>
      </c>
      <c r="B56" s="287"/>
      <c r="C56" s="158"/>
      <c r="D56" s="158"/>
      <c r="E56" s="159"/>
      <c r="F56" s="133">
        <f>AJ8+F49+F52+F54</f>
        <v>0</v>
      </c>
      <c r="G56" s="134" t="e">
        <f>#REF!+G49+G52+G54</f>
        <v>#REF!</v>
      </c>
      <c r="P56" s="20"/>
      <c r="Q56" s="20"/>
      <c r="R56" s="20"/>
      <c r="S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E56" s="20"/>
      <c r="BF56" s="20"/>
      <c r="BG56" s="81"/>
      <c r="BH56" s="81"/>
    </row>
    <row r="57" spans="1:60" ht="15.6" hidden="1" customHeight="1" x14ac:dyDescent="0.25">
      <c r="A57" s="131"/>
      <c r="B57" s="131"/>
      <c r="C57" s="131"/>
      <c r="D57" s="131"/>
      <c r="E57" s="131"/>
      <c r="F57" s="132"/>
      <c r="G57" s="132"/>
      <c r="O57" s="138" t="s">
        <v>45</v>
      </c>
      <c r="P57" s="20"/>
      <c r="Q57" s="20"/>
      <c r="R57" s="20"/>
      <c r="S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E57" s="20"/>
      <c r="BF57" s="20"/>
      <c r="BG57" s="81"/>
      <c r="BH57" s="81"/>
    </row>
    <row r="58" spans="1:60" ht="15.6" hidden="1" customHeight="1" x14ac:dyDescent="0.25">
      <c r="A58" s="147" t="s">
        <v>192</v>
      </c>
      <c r="B58" s="272"/>
      <c r="C58" s="148"/>
      <c r="D58" s="148"/>
      <c r="E58" s="149"/>
      <c r="F58" s="110">
        <f>SUM(F7:F10)</f>
        <v>0</v>
      </c>
      <c r="G58" s="110">
        <f>E18</f>
        <v>0</v>
      </c>
      <c r="O58" s="109"/>
      <c r="P58" s="245"/>
      <c r="Q58" s="245"/>
      <c r="R58" s="245"/>
      <c r="S58" s="220"/>
      <c r="T58" s="66"/>
      <c r="U58" s="66"/>
      <c r="V58" s="66"/>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E58" s="20"/>
      <c r="BF58" s="20"/>
      <c r="BG58" s="81"/>
      <c r="BH58" s="81"/>
    </row>
    <row r="59" spans="1:60" ht="15.6" hidden="1" customHeight="1" x14ac:dyDescent="0.25">
      <c r="A59" s="131"/>
      <c r="B59" s="131"/>
      <c r="C59" s="131"/>
      <c r="D59" s="131"/>
      <c r="E59" s="131"/>
      <c r="F59" s="135"/>
      <c r="G59" s="135"/>
      <c r="L59" s="7">
        <f>IF(F5="Single",200000,IF(F5="MFJ",400000,IF(F5="MFS",200000,IF(F5="HH",200000,13850))))</f>
        <v>400000</v>
      </c>
      <c r="M59" s="44">
        <f>IF(F18&lt;L59, L60, 0)</f>
        <v>0</v>
      </c>
      <c r="O59" s="109"/>
      <c r="P59" s="245"/>
      <c r="Q59" s="245"/>
      <c r="R59" s="245"/>
      <c r="S59" s="220"/>
      <c r="T59" s="66"/>
      <c r="U59" s="66"/>
      <c r="V59" s="66"/>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E59" s="20"/>
      <c r="BF59" s="20"/>
      <c r="BG59" s="81"/>
      <c r="BH59" s="81"/>
    </row>
    <row r="60" spans="1:60" ht="15.6" hidden="1" customHeight="1" x14ac:dyDescent="0.25">
      <c r="A60" s="147" t="s">
        <v>193</v>
      </c>
      <c r="B60" s="272"/>
      <c r="C60" s="148"/>
      <c r="D60" s="148"/>
      <c r="E60" s="149"/>
      <c r="F60" s="136">
        <f>M59</f>
        <v>0</v>
      </c>
      <c r="G60" s="135"/>
      <c r="L60" s="7">
        <f>F3*2200+F4*500</f>
        <v>0</v>
      </c>
      <c r="M60" s="44">
        <v>0</v>
      </c>
      <c r="O60" s="109"/>
      <c r="P60" s="81"/>
      <c r="Q60" s="288"/>
      <c r="R60" s="288"/>
      <c r="S60" s="209"/>
      <c r="T60" s="66"/>
      <c r="U60" s="66"/>
      <c r="V60" s="66"/>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E60" s="20"/>
      <c r="BF60" s="20"/>
      <c r="BG60" s="81"/>
      <c r="BH60" s="81"/>
    </row>
    <row r="61" spans="1:60" ht="15.6" hidden="1" customHeight="1" x14ac:dyDescent="0.25">
      <c r="A61" s="131"/>
      <c r="B61" s="131"/>
      <c r="C61" s="131"/>
      <c r="D61" s="131"/>
      <c r="E61" s="131"/>
      <c r="F61" s="135"/>
      <c r="G61" s="135"/>
      <c r="O61" s="109"/>
      <c r="T61" s="66"/>
      <c r="U61" s="66"/>
      <c r="V61" s="66"/>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E61" s="20"/>
      <c r="BF61" s="20"/>
      <c r="BG61" s="81"/>
      <c r="BH61" s="81"/>
    </row>
    <row r="62" spans="1:60" ht="15.6" hidden="1" customHeight="1" x14ac:dyDescent="0.25">
      <c r="A62" s="147" t="s">
        <v>195</v>
      </c>
      <c r="B62" s="272"/>
      <c r="C62" s="148"/>
      <c r="D62" s="148"/>
      <c r="E62" s="149"/>
      <c r="F62" s="136">
        <f>F17</f>
        <v>0</v>
      </c>
      <c r="G62" s="137">
        <v>0</v>
      </c>
      <c r="O62" s="138"/>
      <c r="P62" s="109"/>
      <c r="Q62" s="109"/>
      <c r="R62" s="109"/>
      <c r="S62" s="109"/>
      <c r="T62" s="109"/>
      <c r="U62" s="109"/>
      <c r="V62" s="109"/>
      <c r="W62" s="20"/>
      <c r="X62" s="20"/>
      <c r="Y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E62" s="20"/>
      <c r="BF62" s="20"/>
      <c r="BG62" s="81"/>
      <c r="BH62" s="81"/>
    </row>
    <row r="63" spans="1:60" ht="15.6" hidden="1" customHeight="1" thickBot="1" x14ac:dyDescent="0.3">
      <c r="A63" s="131"/>
      <c r="B63" s="131"/>
      <c r="C63" s="131"/>
      <c r="D63" s="131"/>
      <c r="E63" s="131"/>
      <c r="F63" s="131"/>
      <c r="G63" s="131"/>
      <c r="O63" s="138"/>
      <c r="P63" s="109" t="s">
        <v>45</v>
      </c>
      <c r="Q63" s="138"/>
      <c r="R63" s="138"/>
      <c r="S63" s="109"/>
      <c r="T63" s="109"/>
      <c r="U63" s="109"/>
      <c r="V63" s="109"/>
      <c r="W63" s="20"/>
      <c r="X63" s="20"/>
      <c r="Y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E63" s="20"/>
      <c r="BF63" s="20"/>
      <c r="BG63" s="81"/>
      <c r="BH63" s="81"/>
    </row>
    <row r="64" spans="1:60" ht="15.6" hidden="1" customHeight="1" thickTop="1" x14ac:dyDescent="0.25">
      <c r="A64" s="150" t="s">
        <v>196</v>
      </c>
      <c r="B64" s="289"/>
      <c r="C64" s="151"/>
      <c r="D64" s="151"/>
      <c r="E64" s="139">
        <f>F56-F58-F60-F62</f>
        <v>0</v>
      </c>
      <c r="F64" s="140">
        <f>IF(E64 &gt; 0, E64, 0)</f>
        <v>0</v>
      </c>
      <c r="G64" s="141">
        <f>IF(F64 &gt; 0, F64, 0)</f>
        <v>0</v>
      </c>
      <c r="P64" s="20"/>
      <c r="Q64" s="138"/>
      <c r="R64" s="109"/>
      <c r="S64" s="109"/>
      <c r="T64" s="109"/>
      <c r="U64" s="109"/>
      <c r="V64" s="109"/>
      <c r="W64" s="20"/>
      <c r="X64" s="20"/>
      <c r="Y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E64" s="20"/>
      <c r="BF64" s="20"/>
      <c r="BG64" s="81"/>
      <c r="BH64" s="81"/>
    </row>
    <row r="65" spans="1:60" ht="15.6" hidden="1" customHeight="1" thickBot="1" x14ac:dyDescent="0.3">
      <c r="O65" s="138" t="s">
        <v>45</v>
      </c>
      <c r="P65" s="109"/>
      <c r="Q65" s="109"/>
      <c r="R65" s="109"/>
      <c r="S65" s="109"/>
      <c r="T65" s="109"/>
      <c r="U65" s="109"/>
      <c r="V65" s="81"/>
      <c r="W65" s="81"/>
      <c r="X65" s="81"/>
      <c r="Y65" s="81"/>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E65" s="20"/>
      <c r="BF65" s="20"/>
      <c r="BG65" s="81"/>
      <c r="BH65" s="81"/>
    </row>
    <row r="66" spans="1:60" ht="15.6" hidden="1" customHeight="1" thickTop="1" x14ac:dyDescent="0.25">
      <c r="A66" s="152" t="s">
        <v>197</v>
      </c>
      <c r="B66" s="290"/>
      <c r="C66" s="153"/>
      <c r="D66" s="153"/>
      <c r="E66" s="154"/>
      <c r="F66" s="142">
        <f>F64*1.05</f>
        <v>0</v>
      </c>
      <c r="G66" s="143">
        <f>G64*1.1</f>
        <v>0</v>
      </c>
      <c r="O66" s="138" t="s">
        <v>45</v>
      </c>
      <c r="P66" s="109"/>
      <c r="Q66" s="109"/>
      <c r="R66" s="109"/>
      <c r="S66" s="109"/>
      <c r="T66" s="109"/>
      <c r="U66" s="109"/>
      <c r="V66" s="81"/>
      <c r="W66" s="81"/>
      <c r="X66" s="81"/>
      <c r="Y66" s="81"/>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E66" s="20"/>
      <c r="BF66" s="20"/>
      <c r="BG66" s="81"/>
      <c r="BH66" s="81"/>
    </row>
    <row r="67" spans="1:60" ht="15.6" hidden="1" customHeight="1" x14ac:dyDescent="0.25">
      <c r="P67" s="20"/>
      <c r="Q67" s="20"/>
      <c r="R67" s="20"/>
      <c r="S67" s="20"/>
      <c r="T67" s="20"/>
      <c r="U67" s="20"/>
      <c r="V67" s="20"/>
      <c r="W67" s="20"/>
      <c r="X67" s="20"/>
      <c r="Y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0"/>
      <c r="BA67" s="20"/>
      <c r="BE67" s="20"/>
      <c r="BF67" s="20"/>
      <c r="BG67" s="81"/>
      <c r="BH67" s="81"/>
    </row>
    <row r="68" spans="1:60" ht="15.6" hidden="1" customHeight="1" x14ac:dyDescent="0.25">
      <c r="A68" s="226" t="s">
        <v>117</v>
      </c>
      <c r="B68" s="149"/>
      <c r="C68" s="144">
        <f>AJ9</f>
        <v>0.1</v>
      </c>
      <c r="D68" s="155" t="s">
        <v>198</v>
      </c>
      <c r="E68" s="156"/>
      <c r="F68" s="144">
        <f>F56/F47</f>
        <v>0</v>
      </c>
      <c r="G68" s="144" t="e">
        <f>G56/G18</f>
        <v>#REF!</v>
      </c>
      <c r="H68" s="145">
        <f>C68</f>
        <v>0.1</v>
      </c>
      <c r="T68" s="20"/>
      <c r="U68" s="20"/>
      <c r="V68" s="20"/>
      <c r="W68" s="20"/>
      <c r="X68" s="20"/>
      <c r="Y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c r="BE68" s="20"/>
      <c r="BF68" s="20"/>
      <c r="BG68" s="81"/>
      <c r="BH68" s="81"/>
    </row>
    <row r="69" spans="1:60" x14ac:dyDescent="0.25">
      <c r="A69" s="7"/>
      <c r="B69" s="7"/>
      <c r="C69" s="7"/>
      <c r="D69" s="7"/>
      <c r="E69" s="7"/>
      <c r="F69" s="7"/>
      <c r="G69" s="7"/>
      <c r="P69" s="109"/>
      <c r="Q69" s="109"/>
      <c r="R69" s="109"/>
      <c r="S69" s="20"/>
      <c r="T69" s="20"/>
      <c r="U69" s="20"/>
      <c r="V69" s="20"/>
      <c r="W69" s="20"/>
      <c r="X69" s="20"/>
      <c r="Y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E69" s="20"/>
      <c r="BF69" s="20"/>
      <c r="BG69" s="81"/>
      <c r="BH69" s="81"/>
    </row>
    <row r="70" spans="1:60" x14ac:dyDescent="0.25">
      <c r="A70" s="7"/>
      <c r="B70" s="7"/>
      <c r="C70" s="7"/>
      <c r="D70" s="7"/>
      <c r="E70" s="7"/>
      <c r="F70" s="7"/>
      <c r="G70" s="7"/>
      <c r="O70" s="109"/>
      <c r="T70" s="20"/>
      <c r="U70" s="20"/>
      <c r="V70" s="20"/>
      <c r="W70" s="20"/>
      <c r="X70" s="20"/>
      <c r="Y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E70" s="20"/>
      <c r="BF70" s="20"/>
      <c r="BG70" s="81"/>
      <c r="BH70" s="81"/>
    </row>
    <row r="71" spans="1:60" x14ac:dyDescent="0.25">
      <c r="A71" s="7"/>
      <c r="B71" s="7"/>
      <c r="C71" s="7"/>
      <c r="D71" s="7"/>
      <c r="E71" s="7"/>
      <c r="F71" s="7"/>
      <c r="G71" s="7"/>
      <c r="O71" s="109"/>
      <c r="P71" s="146"/>
      <c r="Q71" s="146"/>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E71" s="20"/>
      <c r="BF71" s="20"/>
      <c r="BG71" s="81"/>
      <c r="BH71" s="81"/>
    </row>
    <row r="72" spans="1:60" x14ac:dyDescent="0.25">
      <c r="A72" s="7"/>
      <c r="B72" s="7"/>
      <c r="C72" s="7"/>
      <c r="D72" s="7"/>
      <c r="E72" s="7"/>
      <c r="F72" s="7"/>
      <c r="G72" s="7"/>
      <c r="O72" s="109"/>
      <c r="P72" s="146"/>
      <c r="Q72" s="146"/>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E72" s="20"/>
      <c r="BF72" s="20"/>
      <c r="BG72" s="81"/>
      <c r="BH72" s="81"/>
    </row>
    <row r="73" spans="1:60" x14ac:dyDescent="0.25">
      <c r="A73" s="7"/>
      <c r="B73" s="7"/>
      <c r="C73" s="7"/>
      <c r="D73" s="7"/>
      <c r="E73" s="7"/>
      <c r="F73" s="7"/>
      <c r="G73" s="7"/>
      <c r="O73" s="109"/>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E73" s="20"/>
      <c r="BF73" s="20"/>
      <c r="BG73" s="81"/>
      <c r="BH73" s="81"/>
    </row>
    <row r="74" spans="1:60" x14ac:dyDescent="0.25">
      <c r="A74" s="7"/>
      <c r="B74" s="7"/>
      <c r="C74" s="7"/>
      <c r="D74" s="7"/>
      <c r="E74" s="7"/>
      <c r="F74" s="7"/>
      <c r="G74" s="7"/>
      <c r="O74" s="109"/>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E74" s="20"/>
      <c r="BF74" s="20"/>
      <c r="BG74" s="81"/>
      <c r="BH74" s="81"/>
    </row>
    <row r="75" spans="1:60" x14ac:dyDescent="0.25">
      <c r="A75" s="7"/>
      <c r="B75" s="7"/>
      <c r="C75" s="7"/>
      <c r="D75" s="7"/>
      <c r="E75" s="7"/>
      <c r="F75" s="7"/>
      <c r="G75" s="7"/>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E75" s="20"/>
      <c r="BF75" s="20"/>
      <c r="BG75" s="81"/>
      <c r="BH75" s="81"/>
    </row>
    <row r="76" spans="1:60" x14ac:dyDescent="0.25">
      <c r="A76" s="7"/>
      <c r="B76" s="7"/>
      <c r="C76" s="7"/>
      <c r="D76" s="7"/>
      <c r="E76" s="7"/>
      <c r="F76" s="7"/>
      <c r="G76" s="7"/>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E76" s="20"/>
      <c r="BF76" s="20"/>
      <c r="BG76" s="81"/>
      <c r="BH76" s="81"/>
    </row>
    <row r="77" spans="1:60" x14ac:dyDescent="0.25">
      <c r="A77" s="7"/>
      <c r="B77" s="7"/>
      <c r="C77" s="7"/>
      <c r="D77" s="7"/>
      <c r="E77" s="7"/>
      <c r="F77" s="7"/>
      <c r="G77" s="7"/>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E77" s="20"/>
      <c r="BF77" s="20"/>
      <c r="BG77" s="81"/>
      <c r="BH77" s="81"/>
    </row>
    <row r="78" spans="1:60" s="7" customFormat="1" x14ac:dyDescent="0.25">
      <c r="M78" s="44"/>
      <c r="N78" s="44"/>
      <c r="O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row>
    <row r="79" spans="1:60" s="7" customFormat="1" x14ac:dyDescent="0.25">
      <c r="M79" s="44"/>
      <c r="N79" s="44"/>
      <c r="O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row>
    <row r="80" spans="1:60" s="7" customFormat="1" x14ac:dyDescent="0.25">
      <c r="M80" s="44"/>
      <c r="N80" s="44"/>
      <c r="O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row>
    <row r="81" spans="13:60" s="7" customFormat="1" x14ac:dyDescent="0.25">
      <c r="M81" s="44"/>
      <c r="N81" s="44"/>
      <c r="O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row>
    <row r="82" spans="13:60" s="7" customFormat="1" x14ac:dyDescent="0.25">
      <c r="M82" s="44"/>
      <c r="N82" s="44"/>
      <c r="O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row>
    <row r="83" spans="13:60" s="7" customFormat="1" x14ac:dyDescent="0.25">
      <c r="M83" s="44"/>
      <c r="N83" s="44"/>
      <c r="O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row>
    <row r="84" spans="13:60" s="7" customFormat="1" x14ac:dyDescent="0.25">
      <c r="M84" s="44"/>
      <c r="N84" s="44"/>
      <c r="O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row>
    <row r="85" spans="13:60" s="7" customFormat="1" x14ac:dyDescent="0.25">
      <c r="M85" s="44"/>
      <c r="N85" s="44"/>
      <c r="O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row>
    <row r="86" spans="13:60" s="7" customFormat="1" x14ac:dyDescent="0.25">
      <c r="M86" s="44"/>
      <c r="N86" s="44"/>
      <c r="O86" s="20"/>
      <c r="AC86" s="20"/>
      <c r="AD86" s="20"/>
      <c r="AE86" s="20"/>
      <c r="AF86" s="20"/>
      <c r="AG86" s="20"/>
      <c r="BB86" s="20"/>
      <c r="BC86" s="20"/>
      <c r="BD86" s="20"/>
    </row>
    <row r="87" spans="13:60" s="7" customFormat="1" x14ac:dyDescent="0.25">
      <c r="M87" s="44"/>
      <c r="N87" s="44"/>
      <c r="O87" s="20"/>
      <c r="AC87" s="20"/>
      <c r="AD87" s="20"/>
      <c r="AE87" s="20"/>
      <c r="AF87" s="20"/>
      <c r="AG87" s="20"/>
      <c r="BB87" s="20"/>
      <c r="BC87" s="20"/>
      <c r="BD87" s="20"/>
    </row>
    <row r="88" spans="13:60" s="7" customFormat="1" x14ac:dyDescent="0.25">
      <c r="M88" s="44"/>
      <c r="N88" s="44"/>
      <c r="O88" s="20"/>
      <c r="AC88" s="20"/>
      <c r="AD88" s="20"/>
      <c r="AE88" s="20"/>
      <c r="AF88" s="20"/>
      <c r="AG88" s="20"/>
      <c r="BB88" s="20"/>
      <c r="BC88" s="20"/>
      <c r="BD88" s="20"/>
    </row>
    <row r="89" spans="13:60" s="7" customFormat="1" x14ac:dyDescent="0.25">
      <c r="M89" s="44"/>
      <c r="N89" s="44"/>
      <c r="O89" s="20"/>
      <c r="AC89" s="20"/>
      <c r="AD89" s="20"/>
      <c r="AE89" s="20"/>
      <c r="AF89" s="20"/>
      <c r="AG89" s="20"/>
      <c r="BB89" s="20"/>
      <c r="BC89" s="20"/>
      <c r="BD89" s="20"/>
    </row>
    <row r="90" spans="13:60" s="7" customFormat="1" x14ac:dyDescent="0.25">
      <c r="M90" s="44"/>
      <c r="N90" s="44"/>
      <c r="O90" s="20"/>
      <c r="AC90" s="20"/>
      <c r="AD90" s="20"/>
      <c r="AE90" s="20"/>
      <c r="AF90" s="20"/>
      <c r="AG90" s="20"/>
      <c r="BB90" s="20"/>
      <c r="BC90" s="20"/>
      <c r="BD90" s="20"/>
    </row>
    <row r="91" spans="13:60" s="7" customFormat="1" x14ac:dyDescent="0.25">
      <c r="M91" s="44"/>
      <c r="N91" s="44"/>
      <c r="O91" s="20"/>
      <c r="AC91" s="20"/>
      <c r="AD91" s="20"/>
      <c r="AE91" s="20"/>
      <c r="AF91" s="20"/>
      <c r="AG91" s="20"/>
      <c r="BB91" s="20"/>
      <c r="BC91" s="20"/>
      <c r="BD91" s="20"/>
    </row>
    <row r="92" spans="13:60" s="7" customFormat="1" x14ac:dyDescent="0.25">
      <c r="M92" s="44"/>
      <c r="N92" s="44"/>
      <c r="O92" s="20"/>
      <c r="AC92" s="20"/>
      <c r="AD92" s="20"/>
      <c r="AE92" s="20"/>
      <c r="AF92" s="20"/>
      <c r="AG92" s="20"/>
      <c r="BB92" s="20"/>
      <c r="BC92" s="20"/>
      <c r="BD92" s="20"/>
    </row>
    <row r="93" spans="13:60" s="7" customFormat="1" x14ac:dyDescent="0.25">
      <c r="M93" s="44"/>
      <c r="N93" s="44"/>
      <c r="O93" s="20"/>
      <c r="AC93" s="20"/>
      <c r="AD93" s="20"/>
      <c r="AE93" s="20"/>
      <c r="AF93" s="20"/>
      <c r="AG93" s="20"/>
      <c r="BB93" s="20"/>
      <c r="BC93" s="20"/>
      <c r="BD93" s="20"/>
    </row>
    <row r="94" spans="13:60" s="7" customFormat="1" x14ac:dyDescent="0.25">
      <c r="M94" s="44"/>
      <c r="N94" s="44"/>
      <c r="O94" s="20"/>
      <c r="AC94" s="20"/>
      <c r="AD94" s="20"/>
      <c r="AE94" s="20"/>
      <c r="AF94" s="20"/>
      <c r="AG94" s="20"/>
      <c r="BB94" s="20"/>
      <c r="BC94" s="20"/>
      <c r="BD94" s="20"/>
    </row>
    <row r="95" spans="13:60" s="7" customFormat="1" x14ac:dyDescent="0.25">
      <c r="M95" s="44"/>
      <c r="N95" s="44"/>
      <c r="O95" s="20"/>
      <c r="AC95" s="20"/>
      <c r="AD95" s="20"/>
      <c r="AE95" s="20"/>
      <c r="AF95" s="20"/>
      <c r="AG95" s="20"/>
      <c r="BB95" s="20"/>
      <c r="BC95" s="20"/>
      <c r="BD95" s="20"/>
    </row>
    <row r="96" spans="13:60" s="7" customFormat="1" x14ac:dyDescent="0.25">
      <c r="M96" s="44"/>
      <c r="N96" s="44"/>
      <c r="O96" s="20"/>
      <c r="AC96" s="20"/>
      <c r="AD96" s="20"/>
      <c r="AE96" s="20"/>
      <c r="AF96" s="20"/>
      <c r="AG96" s="20"/>
      <c r="BB96" s="20"/>
      <c r="BC96" s="20"/>
      <c r="BD96" s="20"/>
    </row>
    <row r="97" spans="13:56" s="7" customFormat="1" x14ac:dyDescent="0.25">
      <c r="M97" s="44"/>
      <c r="N97" s="44"/>
      <c r="O97" s="20"/>
      <c r="AC97" s="20"/>
      <c r="AD97" s="20"/>
      <c r="AE97" s="20"/>
      <c r="AF97" s="20"/>
      <c r="AG97" s="20"/>
      <c r="BB97" s="20"/>
      <c r="BC97" s="20"/>
      <c r="BD97" s="20"/>
    </row>
    <row r="98" spans="13:56" s="7" customFormat="1" x14ac:dyDescent="0.25">
      <c r="M98" s="44"/>
      <c r="N98" s="44"/>
      <c r="O98" s="20"/>
      <c r="AC98" s="20"/>
      <c r="AD98" s="20"/>
      <c r="AE98" s="20"/>
      <c r="AF98" s="20"/>
      <c r="AG98" s="20"/>
      <c r="BB98" s="20"/>
      <c r="BC98" s="20"/>
      <c r="BD98" s="20"/>
    </row>
    <row r="99" spans="13:56" s="7" customFormat="1" x14ac:dyDescent="0.25">
      <c r="M99" s="44"/>
      <c r="N99" s="44"/>
      <c r="O99" s="20"/>
      <c r="AC99" s="20"/>
      <c r="AD99" s="20"/>
      <c r="AE99" s="20"/>
      <c r="AF99" s="20"/>
      <c r="AG99" s="20"/>
      <c r="BB99" s="20"/>
      <c r="BC99" s="20"/>
      <c r="BD99" s="20"/>
    </row>
    <row r="100" spans="13:56" s="7" customFormat="1" x14ac:dyDescent="0.25">
      <c r="M100" s="44"/>
      <c r="N100" s="44"/>
      <c r="O100" s="20"/>
      <c r="AC100" s="20"/>
      <c r="AD100" s="20"/>
      <c r="AE100" s="20"/>
      <c r="AF100" s="20"/>
      <c r="AG100" s="20"/>
      <c r="BB100" s="20"/>
      <c r="BC100" s="20"/>
      <c r="BD100" s="20"/>
    </row>
    <row r="101" spans="13:56" s="7" customFormat="1" x14ac:dyDescent="0.25">
      <c r="M101" s="44"/>
      <c r="N101" s="44"/>
      <c r="O101" s="20"/>
      <c r="AC101" s="20"/>
      <c r="AD101" s="20"/>
      <c r="AE101" s="20"/>
      <c r="AF101" s="20"/>
      <c r="AG101" s="20"/>
      <c r="BB101" s="20"/>
      <c r="BC101" s="20"/>
      <c r="BD101" s="20"/>
    </row>
    <row r="102" spans="13:56" s="7" customFormat="1" x14ac:dyDescent="0.25">
      <c r="M102" s="44"/>
      <c r="N102" s="44"/>
      <c r="O102" s="20"/>
      <c r="AC102" s="20"/>
      <c r="AD102" s="20"/>
      <c r="AE102" s="20"/>
      <c r="AF102" s="20"/>
      <c r="AG102" s="20"/>
      <c r="BB102" s="20"/>
      <c r="BC102" s="20"/>
      <c r="BD102" s="20"/>
    </row>
    <row r="103" spans="13:56" s="7" customFormat="1" x14ac:dyDescent="0.25">
      <c r="M103" s="44"/>
      <c r="N103" s="44"/>
      <c r="O103" s="20"/>
      <c r="AC103" s="20"/>
      <c r="AD103" s="20"/>
      <c r="AE103" s="20"/>
      <c r="AF103" s="20"/>
      <c r="AG103" s="20"/>
      <c r="BB103" s="20"/>
      <c r="BC103" s="20"/>
      <c r="BD103" s="20"/>
    </row>
    <row r="104" spans="13:56" s="7" customFormat="1" x14ac:dyDescent="0.25">
      <c r="M104" s="44"/>
      <c r="N104" s="44"/>
      <c r="O104" s="20"/>
      <c r="AC104" s="20"/>
      <c r="AD104" s="20"/>
      <c r="AE104" s="20"/>
      <c r="AF104" s="20"/>
      <c r="AG104" s="20"/>
      <c r="BB104" s="20"/>
      <c r="BC104" s="20"/>
      <c r="BD104" s="20"/>
    </row>
    <row r="105" spans="13:56" s="7" customFormat="1" x14ac:dyDescent="0.25">
      <c r="M105" s="44"/>
      <c r="N105" s="44"/>
      <c r="O105" s="20"/>
      <c r="AC105" s="20"/>
      <c r="AD105" s="20"/>
      <c r="AE105" s="20"/>
      <c r="AF105" s="20"/>
      <c r="AG105" s="20"/>
      <c r="BB105" s="20"/>
      <c r="BC105" s="20"/>
      <c r="BD105" s="20"/>
    </row>
    <row r="106" spans="13:56" s="7" customFormat="1" x14ac:dyDescent="0.25">
      <c r="M106" s="44"/>
      <c r="N106" s="44"/>
      <c r="O106" s="20"/>
      <c r="AC106" s="20"/>
      <c r="AD106" s="20"/>
      <c r="AE106" s="20"/>
      <c r="AF106" s="20"/>
      <c r="AG106" s="20"/>
      <c r="BB106" s="20"/>
      <c r="BC106" s="20"/>
      <c r="BD106" s="20"/>
    </row>
    <row r="107" spans="13:56" s="7" customFormat="1" x14ac:dyDescent="0.25">
      <c r="M107" s="44"/>
      <c r="N107" s="44"/>
      <c r="O107" s="20"/>
      <c r="BB107" s="20"/>
      <c r="BC107" s="20"/>
      <c r="BD107" s="20"/>
    </row>
    <row r="108" spans="13:56" s="7" customFormat="1" x14ac:dyDescent="0.25">
      <c r="M108" s="44"/>
      <c r="N108" s="44"/>
      <c r="O108" s="20"/>
      <c r="BB108" s="20"/>
      <c r="BC108" s="20"/>
      <c r="BD108" s="20"/>
    </row>
    <row r="109" spans="13:56" s="7" customFormat="1" x14ac:dyDescent="0.25">
      <c r="M109" s="44"/>
      <c r="N109" s="44"/>
      <c r="O109" s="20"/>
      <c r="BB109" s="20"/>
      <c r="BC109" s="20"/>
      <c r="BD109" s="20"/>
    </row>
    <row r="110" spans="13:56" s="7" customFormat="1" x14ac:dyDescent="0.25">
      <c r="M110" s="44"/>
      <c r="N110" s="44"/>
      <c r="O110" s="20"/>
      <c r="BB110" s="20"/>
      <c r="BC110" s="20"/>
      <c r="BD110" s="20"/>
    </row>
    <row r="111" spans="13:56" s="7" customFormat="1" x14ac:dyDescent="0.25">
      <c r="M111" s="44"/>
      <c r="N111" s="44"/>
      <c r="O111" s="20"/>
      <c r="BB111" s="20"/>
      <c r="BC111" s="20"/>
      <c r="BD111" s="20"/>
    </row>
    <row r="112" spans="13:56" s="7" customFormat="1" x14ac:dyDescent="0.25">
      <c r="M112" s="44"/>
      <c r="N112" s="44"/>
      <c r="O112" s="20"/>
      <c r="BB112" s="20"/>
      <c r="BC112" s="20"/>
      <c r="BD112" s="20"/>
    </row>
    <row r="113" spans="13:56" s="7" customFormat="1" x14ac:dyDescent="0.25">
      <c r="M113" s="44"/>
      <c r="N113" s="44"/>
      <c r="O113" s="20"/>
      <c r="BB113" s="20"/>
      <c r="BC113" s="20"/>
      <c r="BD113" s="20"/>
    </row>
    <row r="114" spans="13:56" s="7" customFormat="1" x14ac:dyDescent="0.25">
      <c r="M114" s="44"/>
      <c r="N114" s="44"/>
      <c r="O114" s="20"/>
      <c r="BB114" s="20"/>
      <c r="BC114" s="20"/>
      <c r="BD114" s="20"/>
    </row>
    <row r="115" spans="13:56" s="7" customFormat="1" x14ac:dyDescent="0.25">
      <c r="M115" s="44"/>
      <c r="N115" s="44"/>
      <c r="O115" s="20"/>
      <c r="BB115" s="20"/>
      <c r="BC115" s="20"/>
      <c r="BD115" s="20"/>
    </row>
    <row r="116" spans="13:56" s="7" customFormat="1" x14ac:dyDescent="0.25">
      <c r="M116" s="44"/>
      <c r="N116" s="44"/>
      <c r="O116" s="20"/>
      <c r="BB116" s="20"/>
      <c r="BC116" s="20"/>
      <c r="BD116" s="20"/>
    </row>
    <row r="117" spans="13:56" s="7" customFormat="1" x14ac:dyDescent="0.25">
      <c r="M117" s="44"/>
      <c r="N117" s="44"/>
      <c r="O117" s="20"/>
      <c r="BB117" s="20"/>
      <c r="BC117" s="20"/>
      <c r="BD117" s="20"/>
    </row>
    <row r="118" spans="13:56" s="7" customFormat="1" x14ac:dyDescent="0.25">
      <c r="M118" s="44"/>
      <c r="N118" s="44"/>
      <c r="O118" s="20"/>
      <c r="BB118" s="20"/>
      <c r="BC118" s="20"/>
      <c r="BD118" s="20"/>
    </row>
    <row r="119" spans="13:56" s="7" customFormat="1" x14ac:dyDescent="0.25">
      <c r="M119" s="44"/>
      <c r="N119" s="44"/>
      <c r="O119" s="20"/>
      <c r="BB119" s="20"/>
      <c r="BC119" s="20"/>
      <c r="BD119" s="20"/>
    </row>
    <row r="120" spans="13:56" s="7" customFormat="1" x14ac:dyDescent="0.25">
      <c r="M120" s="44"/>
      <c r="N120" s="44"/>
      <c r="O120" s="20"/>
      <c r="BB120" s="20"/>
      <c r="BC120" s="20"/>
      <c r="BD120" s="20"/>
    </row>
    <row r="121" spans="13:56" s="7" customFormat="1" x14ac:dyDescent="0.25">
      <c r="M121" s="44"/>
      <c r="N121" s="44"/>
      <c r="O121" s="20"/>
      <c r="BB121" s="20"/>
      <c r="BC121" s="20"/>
      <c r="BD121" s="20"/>
    </row>
    <row r="122" spans="13:56" s="7" customFormat="1" x14ac:dyDescent="0.25">
      <c r="M122" s="44"/>
      <c r="N122" s="44"/>
      <c r="O122" s="20"/>
      <c r="BB122" s="20"/>
      <c r="BC122" s="20"/>
      <c r="BD122" s="20"/>
    </row>
    <row r="123" spans="13:56" s="7" customFormat="1" x14ac:dyDescent="0.25">
      <c r="M123" s="44"/>
      <c r="N123" s="44"/>
      <c r="O123" s="20"/>
      <c r="BB123" s="20"/>
      <c r="BC123" s="20"/>
      <c r="BD123" s="20"/>
    </row>
    <row r="124" spans="13:56" s="7" customFormat="1" x14ac:dyDescent="0.25">
      <c r="M124" s="44"/>
      <c r="N124" s="44"/>
      <c r="O124" s="20"/>
      <c r="BB124" s="20"/>
      <c r="BC124" s="20"/>
      <c r="BD124" s="20"/>
    </row>
    <row r="125" spans="13:56" s="7" customFormat="1" x14ac:dyDescent="0.25">
      <c r="M125" s="44"/>
      <c r="N125" s="44"/>
      <c r="O125" s="20"/>
      <c r="BB125" s="20"/>
      <c r="BC125" s="20"/>
      <c r="BD125" s="20"/>
    </row>
    <row r="126" spans="13:56" s="7" customFormat="1" x14ac:dyDescent="0.25">
      <c r="M126" s="44"/>
      <c r="N126" s="44"/>
      <c r="O126" s="20"/>
      <c r="BB126" s="20"/>
      <c r="BC126" s="20"/>
      <c r="BD126" s="20"/>
    </row>
    <row r="127" spans="13:56" s="7" customFormat="1" x14ac:dyDescent="0.25">
      <c r="M127" s="44"/>
      <c r="N127" s="44"/>
      <c r="O127" s="20"/>
      <c r="BB127" s="20"/>
      <c r="BC127" s="20"/>
      <c r="BD127" s="20"/>
    </row>
    <row r="128" spans="13:56" s="7" customFormat="1" x14ac:dyDescent="0.25">
      <c r="M128" s="44"/>
      <c r="N128" s="44"/>
      <c r="O128" s="20"/>
      <c r="BB128" s="20"/>
      <c r="BC128" s="20"/>
      <c r="BD128" s="20"/>
    </row>
    <row r="129" spans="13:56" s="7" customFormat="1" x14ac:dyDescent="0.25">
      <c r="M129" s="44"/>
      <c r="N129" s="44"/>
      <c r="O129" s="20"/>
      <c r="BB129" s="20"/>
      <c r="BC129" s="20"/>
      <c r="BD129" s="20"/>
    </row>
    <row r="130" spans="13:56" s="7" customFormat="1" x14ac:dyDescent="0.25">
      <c r="M130" s="44"/>
      <c r="N130" s="44"/>
      <c r="O130" s="20"/>
      <c r="BB130" s="20"/>
      <c r="BC130" s="20"/>
      <c r="BD130" s="20"/>
    </row>
    <row r="131" spans="13:56" s="7" customFormat="1" x14ac:dyDescent="0.25">
      <c r="M131" s="44"/>
      <c r="N131" s="44"/>
      <c r="O131" s="20"/>
      <c r="BB131" s="20"/>
      <c r="BC131" s="20"/>
      <c r="BD131" s="20"/>
    </row>
    <row r="132" spans="13:56" s="7" customFormat="1" x14ac:dyDescent="0.25">
      <c r="M132" s="44"/>
      <c r="N132" s="44"/>
      <c r="O132" s="20"/>
      <c r="BB132" s="20"/>
      <c r="BC132" s="20"/>
      <c r="BD132" s="20"/>
    </row>
    <row r="133" spans="13:56" s="7" customFormat="1" x14ac:dyDescent="0.25">
      <c r="M133" s="44"/>
      <c r="N133" s="44"/>
      <c r="O133" s="20"/>
      <c r="BB133" s="20"/>
      <c r="BC133" s="20"/>
      <c r="BD133" s="20"/>
    </row>
    <row r="134" spans="13:56" s="7" customFormat="1" x14ac:dyDescent="0.25">
      <c r="M134" s="44"/>
      <c r="N134" s="44"/>
      <c r="O134" s="20"/>
      <c r="BB134" s="20"/>
      <c r="BC134" s="20"/>
      <c r="BD134" s="20"/>
    </row>
    <row r="135" spans="13:56" s="7" customFormat="1" x14ac:dyDescent="0.25">
      <c r="M135" s="44"/>
      <c r="N135" s="44"/>
      <c r="O135" s="20"/>
      <c r="BB135" s="20"/>
      <c r="BC135" s="20"/>
      <c r="BD135" s="20"/>
    </row>
    <row r="136" spans="13:56" s="7" customFormat="1" x14ac:dyDescent="0.25">
      <c r="M136" s="44"/>
      <c r="N136" s="44"/>
      <c r="O136" s="20"/>
      <c r="BB136" s="20"/>
      <c r="BC136" s="20"/>
      <c r="BD136" s="20"/>
    </row>
    <row r="137" spans="13:56" s="7" customFormat="1" x14ac:dyDescent="0.25">
      <c r="M137" s="44"/>
      <c r="N137" s="44"/>
      <c r="O137" s="20"/>
      <c r="BB137" s="20"/>
      <c r="BC137" s="20"/>
      <c r="BD137" s="20"/>
    </row>
    <row r="138" spans="13:56" s="7" customFormat="1" x14ac:dyDescent="0.25">
      <c r="M138" s="44"/>
      <c r="N138" s="44"/>
      <c r="O138" s="20"/>
      <c r="BB138" s="20"/>
      <c r="BC138" s="20"/>
      <c r="BD138" s="20"/>
    </row>
    <row r="139" spans="13:56" s="7" customFormat="1" x14ac:dyDescent="0.25">
      <c r="M139" s="44"/>
      <c r="N139" s="44"/>
      <c r="O139" s="20"/>
      <c r="BB139" s="20"/>
      <c r="BC139" s="20"/>
      <c r="BD139" s="20"/>
    </row>
    <row r="140" spans="13:56" s="7" customFormat="1" x14ac:dyDescent="0.25">
      <c r="M140" s="44"/>
      <c r="N140" s="44"/>
      <c r="O140" s="20"/>
      <c r="BB140" s="20"/>
      <c r="BC140" s="20"/>
      <c r="BD140" s="20"/>
    </row>
    <row r="141" spans="13:56" s="7" customFormat="1" x14ac:dyDescent="0.25">
      <c r="M141" s="44"/>
      <c r="N141" s="44"/>
      <c r="O141" s="20"/>
      <c r="BB141" s="20"/>
      <c r="BC141" s="20"/>
      <c r="BD141" s="20"/>
    </row>
    <row r="142" spans="13:56" s="7" customFormat="1" x14ac:dyDescent="0.25">
      <c r="M142" s="44"/>
      <c r="N142" s="44"/>
      <c r="O142" s="20"/>
      <c r="BB142" s="20"/>
      <c r="BC142" s="20"/>
      <c r="BD142" s="20"/>
    </row>
    <row r="143" spans="13:56" s="7" customFormat="1" x14ac:dyDescent="0.25">
      <c r="M143" s="44"/>
      <c r="N143" s="44"/>
      <c r="O143" s="20"/>
      <c r="BB143" s="20"/>
      <c r="BC143" s="20"/>
      <c r="BD143" s="20"/>
    </row>
    <row r="144" spans="13:56" s="7" customFormat="1" x14ac:dyDescent="0.25">
      <c r="M144" s="44"/>
      <c r="N144" s="44"/>
      <c r="O144" s="20"/>
      <c r="BB144" s="20"/>
      <c r="BC144" s="20"/>
      <c r="BD144" s="20"/>
    </row>
    <row r="145" spans="13:56" s="7" customFormat="1" x14ac:dyDescent="0.25">
      <c r="M145" s="44"/>
      <c r="N145" s="44"/>
      <c r="O145" s="20"/>
      <c r="BB145" s="20"/>
      <c r="BC145" s="20"/>
      <c r="BD145" s="20"/>
    </row>
    <row r="146" spans="13:56" s="7" customFormat="1" x14ac:dyDescent="0.25">
      <c r="M146" s="44"/>
      <c r="N146" s="44"/>
      <c r="O146" s="20"/>
      <c r="BB146" s="20"/>
      <c r="BC146" s="20"/>
      <c r="BD146" s="20"/>
    </row>
    <row r="147" spans="13:56" s="7" customFormat="1" x14ac:dyDescent="0.25">
      <c r="M147" s="44"/>
      <c r="N147" s="44"/>
      <c r="O147" s="20"/>
      <c r="BB147" s="20"/>
      <c r="BC147" s="20"/>
      <c r="BD147" s="20"/>
    </row>
    <row r="148" spans="13:56" s="7" customFormat="1" x14ac:dyDescent="0.25">
      <c r="M148" s="44"/>
      <c r="N148" s="44"/>
      <c r="O148" s="20"/>
      <c r="BB148" s="20"/>
      <c r="BC148" s="20"/>
      <c r="BD148" s="20"/>
    </row>
    <row r="149" spans="13:56" s="7" customFormat="1" x14ac:dyDescent="0.25">
      <c r="M149" s="44"/>
      <c r="N149" s="44"/>
      <c r="O149" s="20"/>
      <c r="BB149" s="20"/>
      <c r="BC149" s="20"/>
      <c r="BD149" s="20"/>
    </row>
    <row r="150" spans="13:56" s="7" customFormat="1" x14ac:dyDescent="0.25">
      <c r="M150" s="44"/>
      <c r="N150" s="44"/>
      <c r="O150" s="20"/>
      <c r="BB150" s="20"/>
      <c r="BC150" s="20"/>
      <c r="BD150" s="20"/>
    </row>
    <row r="151" spans="13:56" s="7" customFormat="1" x14ac:dyDescent="0.25">
      <c r="M151" s="44"/>
      <c r="N151" s="44"/>
      <c r="O151" s="20"/>
      <c r="BB151" s="20"/>
      <c r="BC151" s="20"/>
      <c r="BD151" s="20"/>
    </row>
    <row r="152" spans="13:56" s="7" customFormat="1" x14ac:dyDescent="0.25">
      <c r="M152" s="44"/>
      <c r="N152" s="44"/>
      <c r="O152" s="20"/>
      <c r="BB152" s="20"/>
      <c r="BC152" s="20"/>
      <c r="BD152" s="20"/>
    </row>
    <row r="153" spans="13:56" s="7" customFormat="1" x14ac:dyDescent="0.25">
      <c r="M153" s="44"/>
      <c r="N153" s="44"/>
      <c r="O153" s="20"/>
      <c r="BB153" s="20"/>
      <c r="BC153" s="20"/>
      <c r="BD153" s="20"/>
    </row>
  </sheetData>
  <mergeCells count="98">
    <mergeCell ref="A62:E62"/>
    <mergeCell ref="A64:D64"/>
    <mergeCell ref="A66:E66"/>
    <mergeCell ref="A68:B68"/>
    <mergeCell ref="D68:E68"/>
    <mergeCell ref="A54:D54"/>
    <mergeCell ref="A56:E56"/>
    <mergeCell ref="A58:E58"/>
    <mergeCell ref="P58:R58"/>
    <mergeCell ref="P59:R59"/>
    <mergeCell ref="A60:E60"/>
    <mergeCell ref="A33:D33"/>
    <mergeCell ref="A35:D35"/>
    <mergeCell ref="A45:D45"/>
    <mergeCell ref="A47:E47"/>
    <mergeCell ref="A49:C49"/>
    <mergeCell ref="A52:C52"/>
    <mergeCell ref="A28:B28"/>
    <mergeCell ref="P28:Q28"/>
    <mergeCell ref="R28:S28"/>
    <mergeCell ref="BA28:BC28"/>
    <mergeCell ref="BA30:BC30"/>
    <mergeCell ref="A31:D31"/>
    <mergeCell ref="A26:E26"/>
    <mergeCell ref="P26:Q26"/>
    <mergeCell ref="R26:S26"/>
    <mergeCell ref="BA26:BC26"/>
    <mergeCell ref="A27:B27"/>
    <mergeCell ref="BA27:BC27"/>
    <mergeCell ref="A22:E22"/>
    <mergeCell ref="BA22:BC22"/>
    <mergeCell ref="BA23:BC23"/>
    <mergeCell ref="A24:E24"/>
    <mergeCell ref="BA24:BC24"/>
    <mergeCell ref="BA25:BC25"/>
    <mergeCell ref="A19:F19"/>
    <mergeCell ref="BA19:BC19"/>
    <mergeCell ref="A20:B20"/>
    <mergeCell ref="BA20:BC20"/>
    <mergeCell ref="A21:B21"/>
    <mergeCell ref="P21:Q21"/>
    <mergeCell ref="R21:S21"/>
    <mergeCell ref="BA21:BC21"/>
    <mergeCell ref="BA17:BD17"/>
    <mergeCell ref="A18:B18"/>
    <mergeCell ref="D18:E18"/>
    <mergeCell ref="P18:Q18"/>
    <mergeCell ref="R18:S18"/>
    <mergeCell ref="AC18:AD18"/>
    <mergeCell ref="BA18:BC18"/>
    <mergeCell ref="A15:B15"/>
    <mergeCell ref="D15:E15"/>
    <mergeCell ref="A16:B16"/>
    <mergeCell ref="P16:S16"/>
    <mergeCell ref="AC16:AE16"/>
    <mergeCell ref="A17:B17"/>
    <mergeCell ref="D17:E17"/>
    <mergeCell ref="D12:E12"/>
    <mergeCell ref="P12:Q12"/>
    <mergeCell ref="R12:S12"/>
    <mergeCell ref="D13:E13"/>
    <mergeCell ref="A14:B14"/>
    <mergeCell ref="D14:E14"/>
    <mergeCell ref="P14:Q14"/>
    <mergeCell ref="R14:S14"/>
    <mergeCell ref="A10:B10"/>
    <mergeCell ref="D10:E10"/>
    <mergeCell ref="P10:Q10"/>
    <mergeCell ref="R10:S10"/>
    <mergeCell ref="A11:B11"/>
    <mergeCell ref="D11:E11"/>
    <mergeCell ref="A8:B8"/>
    <mergeCell ref="D8:E8"/>
    <mergeCell ref="P8:Q8"/>
    <mergeCell ref="R8:S8"/>
    <mergeCell ref="A9:B9"/>
    <mergeCell ref="D9:E9"/>
    <mergeCell ref="D6:E6"/>
    <mergeCell ref="P6:Q6"/>
    <mergeCell ref="R6:S6"/>
    <mergeCell ref="BA6:BC6"/>
    <mergeCell ref="A7:B7"/>
    <mergeCell ref="D7:E7"/>
    <mergeCell ref="BA7:BC7"/>
    <mergeCell ref="D4:E4"/>
    <mergeCell ref="P4:Q4"/>
    <mergeCell ref="R4:S4"/>
    <mergeCell ref="BA4:BC4"/>
    <mergeCell ref="D5:E5"/>
    <mergeCell ref="AD5:AE5"/>
    <mergeCell ref="BA5:BC5"/>
    <mergeCell ref="BA1:BD1"/>
    <mergeCell ref="A2:E2"/>
    <mergeCell ref="P2:S2"/>
    <mergeCell ref="B3:C3"/>
    <mergeCell ref="D3:E3"/>
    <mergeCell ref="AC3:AG3"/>
    <mergeCell ref="BA3:BC3"/>
  </mergeCells>
  <conditionalFormatting sqref="A28:E29">
    <cfRule type="containsBlanks" dxfId="11" priority="21">
      <formula>LEN(TRIM(A28))=0</formula>
    </cfRule>
  </conditionalFormatting>
  <conditionalFormatting sqref="B12:B13">
    <cfRule type="containsBlanks" dxfId="10" priority="3">
      <formula>LEN(TRIM(B12))=0</formula>
    </cfRule>
  </conditionalFormatting>
  <conditionalFormatting sqref="B3:C3">
    <cfRule type="containsBlanks" dxfId="9" priority="13">
      <formula>LEN(TRIM(B3))=0</formula>
    </cfRule>
  </conditionalFormatting>
  <conditionalFormatting sqref="C4:C5">
    <cfRule type="containsBlanks" dxfId="8" priority="14">
      <formula>LEN(TRIM(C4))=0</formula>
    </cfRule>
  </conditionalFormatting>
  <conditionalFormatting sqref="C7:C17">
    <cfRule type="containsBlanks" dxfId="7" priority="15">
      <formula>LEN(TRIM(C7))=0</formula>
    </cfRule>
  </conditionalFormatting>
  <conditionalFormatting sqref="C20:C21">
    <cfRule type="containsBlanks" dxfId="6" priority="19">
      <formula>LEN(TRIM(C20))=0</formula>
    </cfRule>
  </conditionalFormatting>
  <conditionalFormatting sqref="E16">
    <cfRule type="containsBlanks" dxfId="5" priority="18">
      <formula>LEN(TRIM(E16))=0</formula>
    </cfRule>
  </conditionalFormatting>
  <conditionalFormatting sqref="E20:E21">
    <cfRule type="containsBlanks" dxfId="4" priority="20">
      <formula>LEN(TRIM(E20))=0</formula>
    </cfRule>
  </conditionalFormatting>
  <conditionalFormatting sqref="F3:F4">
    <cfRule type="containsBlanks" dxfId="3" priority="16">
      <formula>LEN(TRIM(F3))=0</formula>
    </cfRule>
  </conditionalFormatting>
  <conditionalFormatting sqref="F7:F17">
    <cfRule type="containsBlanks" dxfId="2" priority="17">
      <formula>LEN(TRIM(F7))=0</formula>
    </cfRule>
  </conditionalFormatting>
  <conditionalFormatting sqref="F29">
    <cfRule type="containsBlanks" dxfId="0" priority="22">
      <formula>LEN(TRIM(F29))=0</formula>
    </cfRule>
  </conditionalFormatting>
  <conditionalFormatting sqref="F62">
    <cfRule type="containsBlanks" dxfId="1" priority="9">
      <formula>LEN(TRIM(F62))=0</formula>
    </cfRule>
  </conditionalFormatting>
  <dataValidations count="4">
    <dataValidation type="list" allowBlank="1" showInputMessage="1" showErrorMessage="1" sqref="AD5" xr:uid="{43C1ECDD-5C91-42CF-AC09-70C9E60D71A1}">
      <formula1>status_list</formula1>
    </dataValidation>
    <dataValidation type="list" allowBlank="1" showInputMessage="1" showErrorMessage="1" sqref="F2" xr:uid="{6C387779-FAEC-4358-BC2C-8FC4ABE728D5}">
      <formula1>$AL$12:$AL$14</formula1>
    </dataValidation>
    <dataValidation type="list" allowBlank="1" showInputMessage="1" showErrorMessage="1" prompt="Single: Single_x000a_MFJ: Married Filing Jointly_x000a_MFS: Married Filing Separately_x000a_HH: Head of Household" sqref="F5" xr:uid="{DDF2004D-7B8A-49A8-B087-75B74880184B}">
      <formula1>"Single, MFJ, MFS, HH"</formula1>
    </dataValidation>
    <dataValidation type="list" allowBlank="1" showInputMessage="1" showErrorMessage="1" sqref="G5" xr:uid="{BDCF5EDC-5890-4353-B96E-E0D4A2CE2EA2}">
      <formula1>$H$16:$H$53</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96AF1-56AC-4C01-A4F3-45D139389797}">
  <sheetPr codeName="Sheet3"/>
  <dimension ref="A1:DF318"/>
  <sheetViews>
    <sheetView tabSelected="1" workbookViewId="0">
      <selection activeCell="C32" sqref="C32"/>
    </sheetView>
  </sheetViews>
  <sheetFormatPr defaultRowHeight="15" x14ac:dyDescent="0.25"/>
  <cols>
    <col min="1" max="1" width="28.140625" style="7" customWidth="1"/>
    <col min="2" max="2" width="37.85546875" style="7" customWidth="1"/>
    <col min="3" max="3" width="22.42578125" style="7" customWidth="1"/>
    <col min="4" max="4" width="21.85546875" style="7" customWidth="1"/>
    <col min="5" max="5" width="26.85546875" style="7" customWidth="1"/>
    <col min="6" max="6" width="9.140625" style="7"/>
    <col min="7" max="110" width="9.140625" style="32"/>
    <col min="111" max="16384" width="9.140625" style="7"/>
  </cols>
  <sheetData>
    <row r="1" spans="1:5" ht="23.25" customHeight="1" x14ac:dyDescent="0.25">
      <c r="A1" s="21" t="s">
        <v>18</v>
      </c>
      <c r="B1" s="22" t="s">
        <v>19</v>
      </c>
      <c r="C1" s="22" t="s">
        <v>20</v>
      </c>
      <c r="D1" s="22" t="s">
        <v>21</v>
      </c>
      <c r="E1" s="23" t="s">
        <v>22</v>
      </c>
    </row>
    <row r="2" spans="1:5" x14ac:dyDescent="0.25">
      <c r="D2" s="7" t="s">
        <v>45</v>
      </c>
    </row>
    <row r="3" spans="1:5" x14ac:dyDescent="0.25">
      <c r="A3" s="24" t="s">
        <v>23</v>
      </c>
    </row>
    <row r="5" spans="1:5" x14ac:dyDescent="0.25">
      <c r="A5" s="25" t="s">
        <v>24</v>
      </c>
      <c r="B5" s="25" t="s">
        <v>25</v>
      </c>
      <c r="C5" s="26">
        <v>750000</v>
      </c>
      <c r="D5" s="27">
        <v>400000</v>
      </c>
      <c r="E5" s="26">
        <f>C5-D5</f>
        <v>350000</v>
      </c>
    </row>
    <row r="6" spans="1:5" x14ac:dyDescent="0.25">
      <c r="A6" s="25" t="s">
        <v>24</v>
      </c>
      <c r="B6" s="25" t="s">
        <v>26</v>
      </c>
      <c r="C6" s="26">
        <v>250000</v>
      </c>
      <c r="D6" s="27">
        <v>50000</v>
      </c>
      <c r="E6" s="26">
        <f>C6-D6</f>
        <v>200000</v>
      </c>
    </row>
    <row r="7" spans="1:5" x14ac:dyDescent="0.25">
      <c r="A7" s="25"/>
      <c r="B7" s="25"/>
      <c r="C7" s="26"/>
      <c r="D7" s="27"/>
      <c r="E7" s="26"/>
    </row>
    <row r="8" spans="1:5" x14ac:dyDescent="0.25">
      <c r="A8" s="25"/>
      <c r="B8" s="25"/>
      <c r="C8" s="26"/>
      <c r="D8" s="27"/>
      <c r="E8" s="26"/>
    </row>
    <row r="9" spans="1:5" x14ac:dyDescent="0.25">
      <c r="A9" s="24" t="s">
        <v>27</v>
      </c>
      <c r="D9" s="20"/>
    </row>
    <row r="10" spans="1:5" x14ac:dyDescent="0.25">
      <c r="A10" s="25" t="s">
        <v>28</v>
      </c>
      <c r="B10" s="25" t="s">
        <v>29</v>
      </c>
      <c r="C10" s="26">
        <v>25000</v>
      </c>
      <c r="D10" s="27">
        <v>0</v>
      </c>
      <c r="E10" s="26">
        <f>C10-D10</f>
        <v>25000</v>
      </c>
    </row>
    <row r="11" spans="1:5" x14ac:dyDescent="0.25">
      <c r="A11" s="25" t="s">
        <v>30</v>
      </c>
      <c r="B11" s="25" t="s">
        <v>31</v>
      </c>
      <c r="C11" s="26">
        <v>380000</v>
      </c>
      <c r="D11" s="27">
        <v>20000</v>
      </c>
      <c r="E11" s="26">
        <f>C11-D11</f>
        <v>360000</v>
      </c>
    </row>
    <row r="12" spans="1:5" x14ac:dyDescent="0.25">
      <c r="A12" s="25" t="s">
        <v>32</v>
      </c>
      <c r="B12" s="25" t="s">
        <v>33</v>
      </c>
      <c r="C12" s="26">
        <v>120000</v>
      </c>
      <c r="D12" s="27">
        <v>0</v>
      </c>
      <c r="E12" s="26">
        <f>C12-D12</f>
        <v>120000</v>
      </c>
    </row>
    <row r="13" spans="1:5" x14ac:dyDescent="0.25">
      <c r="A13" s="25"/>
      <c r="B13" s="25"/>
      <c r="C13" s="26"/>
      <c r="D13" s="27"/>
      <c r="E13" s="26"/>
    </row>
    <row r="14" spans="1:5" x14ac:dyDescent="0.25">
      <c r="A14" s="25"/>
      <c r="B14" s="25"/>
      <c r="C14" s="26"/>
      <c r="D14" s="27"/>
      <c r="E14" s="26"/>
    </row>
    <row r="15" spans="1:5" x14ac:dyDescent="0.25">
      <c r="A15" s="25"/>
      <c r="B15" s="25"/>
      <c r="C15" s="26"/>
      <c r="D15" s="27"/>
      <c r="E15" s="26"/>
    </row>
    <row r="16" spans="1:5" x14ac:dyDescent="0.25">
      <c r="A16" s="24" t="s">
        <v>34</v>
      </c>
      <c r="D16" s="20"/>
    </row>
    <row r="17" spans="1:5" x14ac:dyDescent="0.25">
      <c r="A17" s="25" t="s">
        <v>35</v>
      </c>
      <c r="B17" s="25" t="s">
        <v>36</v>
      </c>
      <c r="C17" s="26">
        <v>35000</v>
      </c>
      <c r="D17" s="27">
        <v>15000</v>
      </c>
      <c r="E17" s="26">
        <f>C17-D17</f>
        <v>20000</v>
      </c>
    </row>
    <row r="18" spans="1:5" x14ac:dyDescent="0.25">
      <c r="A18" s="25" t="s">
        <v>37</v>
      </c>
      <c r="B18" s="25" t="s">
        <v>38</v>
      </c>
      <c r="C18" s="26">
        <v>90000</v>
      </c>
      <c r="D18" s="27">
        <v>0</v>
      </c>
      <c r="E18" s="26">
        <f>C18-D18</f>
        <v>90000</v>
      </c>
    </row>
    <row r="19" spans="1:5" x14ac:dyDescent="0.25">
      <c r="A19" s="25"/>
      <c r="B19" s="25"/>
      <c r="C19" s="26"/>
      <c r="D19" s="27"/>
      <c r="E19" s="26"/>
    </row>
    <row r="20" spans="1:5" x14ac:dyDescent="0.25">
      <c r="A20" s="25"/>
      <c r="B20" s="25"/>
      <c r="C20" s="26"/>
      <c r="D20" s="27"/>
      <c r="E20" s="26"/>
    </row>
    <row r="21" spans="1:5" x14ac:dyDescent="0.25">
      <c r="A21" s="24" t="s">
        <v>39</v>
      </c>
      <c r="D21" s="20"/>
    </row>
    <row r="22" spans="1:5" x14ac:dyDescent="0.25">
      <c r="A22" s="25" t="s">
        <v>40</v>
      </c>
      <c r="B22" s="25" t="s">
        <v>41</v>
      </c>
      <c r="C22" s="26">
        <v>0</v>
      </c>
      <c r="D22" s="27">
        <v>8500</v>
      </c>
      <c r="E22" s="26">
        <f>D22*-1</f>
        <v>-8500</v>
      </c>
    </row>
    <row r="23" spans="1:5" x14ac:dyDescent="0.25">
      <c r="A23" s="25" t="s">
        <v>40</v>
      </c>
      <c r="B23" s="25" t="s">
        <v>42</v>
      </c>
      <c r="C23" s="26">
        <v>0</v>
      </c>
      <c r="D23" s="27">
        <v>40000</v>
      </c>
      <c r="E23" s="26">
        <f>D23*-1</f>
        <v>-40000</v>
      </c>
    </row>
    <row r="24" spans="1:5" x14ac:dyDescent="0.25">
      <c r="A24" s="25"/>
      <c r="B24" s="25"/>
      <c r="C24" s="26"/>
      <c r="D24" s="27"/>
      <c r="E24" s="26"/>
    </row>
    <row r="25" spans="1:5" x14ac:dyDescent="0.25">
      <c r="A25" s="25"/>
      <c r="B25" s="25"/>
      <c r="C25" s="26"/>
      <c r="D25" s="27"/>
      <c r="E25" s="26"/>
    </row>
    <row r="26" spans="1:5" x14ac:dyDescent="0.25">
      <c r="A26" s="7" t="s">
        <v>45</v>
      </c>
      <c r="D26" s="20"/>
    </row>
    <row r="27" spans="1:5" x14ac:dyDescent="0.25">
      <c r="A27" s="28" t="s">
        <v>43</v>
      </c>
      <c r="B27" s="29" t="s">
        <v>44</v>
      </c>
      <c r="C27" s="30">
        <f>SUM(C5:C23)</f>
        <v>1650000</v>
      </c>
      <c r="D27" s="31">
        <f>SUM(D5:D24)</f>
        <v>533500</v>
      </c>
      <c r="E27" s="30">
        <f>SUM(E5:E24)</f>
        <v>1116500</v>
      </c>
    </row>
    <row r="28" spans="1:5" x14ac:dyDescent="0.25">
      <c r="C28" s="19"/>
      <c r="D28" s="19"/>
      <c r="E28" s="19"/>
    </row>
    <row r="33" s="32" customFormat="1" x14ac:dyDescent="0.25"/>
    <row r="34" s="32" customFormat="1" x14ac:dyDescent="0.25"/>
    <row r="35" s="32" customFormat="1" x14ac:dyDescent="0.25"/>
    <row r="36" s="32" customFormat="1" x14ac:dyDescent="0.25"/>
    <row r="37" s="32" customFormat="1" x14ac:dyDescent="0.25"/>
    <row r="38" s="32" customFormat="1" x14ac:dyDescent="0.25"/>
    <row r="39" s="32" customFormat="1" x14ac:dyDescent="0.25"/>
    <row r="40" s="32" customFormat="1" x14ac:dyDescent="0.25"/>
    <row r="41" s="32" customFormat="1" x14ac:dyDescent="0.25"/>
    <row r="42" s="32" customFormat="1" x14ac:dyDescent="0.25"/>
    <row r="43" s="32" customFormat="1" x14ac:dyDescent="0.25"/>
    <row r="44" s="32" customFormat="1" x14ac:dyDescent="0.25"/>
    <row r="45" s="32" customFormat="1" x14ac:dyDescent="0.25"/>
    <row r="46" s="32" customFormat="1" x14ac:dyDescent="0.25"/>
    <row r="47" s="32" customFormat="1" x14ac:dyDescent="0.25"/>
    <row r="48" s="32" customFormat="1" x14ac:dyDescent="0.25"/>
    <row r="49" s="32" customFormat="1" x14ac:dyDescent="0.25"/>
    <row r="50" s="32" customFormat="1" x14ac:dyDescent="0.25"/>
    <row r="51" s="32" customFormat="1" x14ac:dyDescent="0.25"/>
    <row r="52" s="32" customFormat="1" x14ac:dyDescent="0.25"/>
    <row r="53" s="32" customFormat="1" x14ac:dyDescent="0.25"/>
    <row r="54" s="32" customFormat="1" x14ac:dyDescent="0.25"/>
    <row r="55" s="32" customFormat="1" x14ac:dyDescent="0.25"/>
    <row r="56" s="32" customFormat="1" x14ac:dyDescent="0.25"/>
    <row r="57" s="32" customFormat="1" x14ac:dyDescent="0.25"/>
    <row r="58" s="32" customFormat="1" x14ac:dyDescent="0.25"/>
    <row r="59" s="32" customFormat="1" x14ac:dyDescent="0.25"/>
    <row r="60" s="32" customFormat="1" x14ac:dyDescent="0.25"/>
    <row r="61" s="32" customFormat="1" x14ac:dyDescent="0.25"/>
    <row r="62" s="32" customFormat="1" x14ac:dyDescent="0.25"/>
    <row r="63" s="32" customFormat="1" x14ac:dyDescent="0.25"/>
    <row r="64" s="32" customFormat="1" x14ac:dyDescent="0.25"/>
    <row r="65" s="32" customFormat="1" x14ac:dyDescent="0.25"/>
    <row r="66" s="32" customFormat="1" x14ac:dyDescent="0.25"/>
    <row r="67" s="32" customFormat="1" x14ac:dyDescent="0.25"/>
    <row r="68" s="32" customFormat="1" x14ac:dyDescent="0.25"/>
    <row r="69" s="32" customFormat="1" x14ac:dyDescent="0.25"/>
    <row r="70" s="32" customFormat="1" x14ac:dyDescent="0.25"/>
    <row r="71" s="32" customFormat="1" x14ac:dyDescent="0.25"/>
    <row r="72" s="32" customFormat="1" x14ac:dyDescent="0.25"/>
    <row r="73" s="32" customFormat="1" x14ac:dyDescent="0.25"/>
    <row r="74" s="32" customFormat="1" x14ac:dyDescent="0.25"/>
    <row r="75" s="32" customFormat="1" x14ac:dyDescent="0.25"/>
    <row r="76" s="32" customFormat="1" x14ac:dyDescent="0.25"/>
    <row r="77" s="32" customFormat="1" x14ac:dyDescent="0.25"/>
    <row r="78" s="32" customFormat="1" x14ac:dyDescent="0.25"/>
    <row r="79" s="32" customFormat="1" x14ac:dyDescent="0.25"/>
    <row r="80" s="32" customFormat="1" x14ac:dyDescent="0.25"/>
    <row r="81" s="32" customFormat="1" x14ac:dyDescent="0.25"/>
    <row r="82" s="32" customFormat="1" x14ac:dyDescent="0.25"/>
    <row r="83" s="32" customFormat="1" x14ac:dyDescent="0.25"/>
    <row r="84" s="32" customFormat="1" x14ac:dyDescent="0.25"/>
    <row r="85" s="32" customFormat="1" x14ac:dyDescent="0.25"/>
    <row r="86" s="32" customFormat="1" x14ac:dyDescent="0.25"/>
    <row r="87" s="32" customFormat="1" x14ac:dyDescent="0.25"/>
    <row r="88" s="32" customFormat="1" x14ac:dyDescent="0.25"/>
    <row r="89" s="32" customFormat="1" x14ac:dyDescent="0.25"/>
    <row r="90" s="32" customFormat="1" x14ac:dyDescent="0.25"/>
    <row r="91" s="32" customFormat="1" x14ac:dyDescent="0.25"/>
    <row r="92" s="32" customFormat="1" x14ac:dyDescent="0.25"/>
    <row r="93" s="32" customFormat="1" x14ac:dyDescent="0.25"/>
    <row r="94" s="32" customFormat="1" x14ac:dyDescent="0.25"/>
    <row r="95" s="32" customFormat="1" x14ac:dyDescent="0.25"/>
    <row r="96" s="32" customFormat="1" x14ac:dyDescent="0.25"/>
    <row r="97" s="32" customFormat="1" x14ac:dyDescent="0.25"/>
    <row r="98" s="32" customFormat="1" x14ac:dyDescent="0.25"/>
    <row r="99" s="32" customFormat="1" x14ac:dyDescent="0.25"/>
    <row r="100" s="32" customFormat="1" x14ac:dyDescent="0.25"/>
    <row r="101" s="32" customFormat="1" x14ac:dyDescent="0.25"/>
    <row r="102" s="32" customFormat="1" x14ac:dyDescent="0.25"/>
    <row r="103" s="32" customFormat="1" x14ac:dyDescent="0.25"/>
    <row r="104" s="32" customFormat="1" x14ac:dyDescent="0.25"/>
    <row r="105" s="32" customFormat="1" x14ac:dyDescent="0.25"/>
    <row r="106" s="32" customFormat="1" x14ac:dyDescent="0.25"/>
    <row r="107" s="32" customFormat="1" x14ac:dyDescent="0.25"/>
    <row r="108" s="32" customFormat="1" x14ac:dyDescent="0.25"/>
    <row r="109" s="32" customFormat="1" x14ac:dyDescent="0.25"/>
    <row r="110" s="32" customFormat="1" x14ac:dyDescent="0.25"/>
    <row r="111" s="32" customFormat="1" x14ac:dyDescent="0.25"/>
    <row r="112" s="32" customFormat="1" x14ac:dyDescent="0.25"/>
    <row r="113" s="32" customFormat="1" x14ac:dyDescent="0.25"/>
    <row r="114" s="32" customFormat="1" x14ac:dyDescent="0.25"/>
    <row r="115" s="32" customFormat="1" x14ac:dyDescent="0.25"/>
    <row r="116" s="32" customFormat="1" x14ac:dyDescent="0.25"/>
    <row r="117" s="32" customFormat="1" x14ac:dyDescent="0.25"/>
    <row r="118" s="32" customFormat="1" x14ac:dyDescent="0.25"/>
    <row r="119" s="32" customFormat="1" x14ac:dyDescent="0.25"/>
    <row r="120" s="32" customFormat="1" x14ac:dyDescent="0.25"/>
    <row r="121" s="32" customFormat="1" x14ac:dyDescent="0.25"/>
    <row r="122" s="32" customFormat="1" x14ac:dyDescent="0.25"/>
    <row r="123" s="32" customFormat="1" x14ac:dyDescent="0.25"/>
    <row r="124" s="32" customFormat="1" x14ac:dyDescent="0.25"/>
    <row r="125" s="32" customFormat="1" x14ac:dyDescent="0.25"/>
    <row r="126" s="32" customFormat="1" x14ac:dyDescent="0.25"/>
    <row r="127" s="32" customFormat="1" x14ac:dyDescent="0.25"/>
    <row r="128" s="32" customFormat="1" x14ac:dyDescent="0.25"/>
    <row r="129" s="32" customFormat="1" x14ac:dyDescent="0.25"/>
    <row r="130" s="32" customFormat="1" x14ac:dyDescent="0.25"/>
    <row r="131" s="32" customFormat="1" x14ac:dyDescent="0.25"/>
    <row r="132" s="32" customFormat="1" x14ac:dyDescent="0.25"/>
    <row r="133" s="32" customFormat="1" x14ac:dyDescent="0.25"/>
    <row r="134" s="32" customFormat="1" x14ac:dyDescent="0.25"/>
    <row r="135" s="32" customFormat="1" x14ac:dyDescent="0.25"/>
    <row r="136" s="32" customFormat="1" x14ac:dyDescent="0.25"/>
    <row r="137" s="32" customFormat="1" x14ac:dyDescent="0.25"/>
    <row r="138" s="32" customFormat="1" x14ac:dyDescent="0.25"/>
    <row r="139" s="32" customFormat="1" x14ac:dyDescent="0.25"/>
    <row r="140" s="32" customFormat="1" x14ac:dyDescent="0.25"/>
    <row r="141" s="32" customFormat="1" x14ac:dyDescent="0.25"/>
    <row r="142" s="32" customFormat="1" x14ac:dyDescent="0.25"/>
    <row r="143" s="32" customFormat="1" x14ac:dyDescent="0.25"/>
    <row r="144" s="32" customFormat="1" x14ac:dyDescent="0.25"/>
    <row r="145" s="32" customFormat="1" x14ac:dyDescent="0.25"/>
    <row r="146" s="32" customFormat="1" x14ac:dyDescent="0.25"/>
    <row r="147" s="32" customFormat="1" x14ac:dyDescent="0.25"/>
    <row r="148" s="32" customFormat="1" x14ac:dyDescent="0.25"/>
    <row r="149" s="32" customFormat="1" x14ac:dyDescent="0.25"/>
    <row r="150" s="32" customFormat="1" x14ac:dyDescent="0.25"/>
    <row r="151" s="32" customFormat="1" x14ac:dyDescent="0.25"/>
    <row r="152" s="32" customFormat="1" x14ac:dyDescent="0.25"/>
    <row r="153" s="32" customFormat="1" x14ac:dyDescent="0.25"/>
    <row r="154" s="32" customFormat="1" x14ac:dyDescent="0.25"/>
    <row r="155" s="32" customFormat="1" x14ac:dyDescent="0.25"/>
    <row r="156" s="32" customFormat="1" x14ac:dyDescent="0.25"/>
    <row r="157" s="32" customFormat="1" x14ac:dyDescent="0.25"/>
    <row r="158" s="32" customFormat="1" x14ac:dyDescent="0.25"/>
    <row r="159" s="32" customFormat="1" x14ac:dyDescent="0.25"/>
    <row r="160" s="32" customFormat="1" x14ac:dyDescent="0.25"/>
    <row r="161" s="32" customFormat="1" x14ac:dyDescent="0.25"/>
    <row r="162" s="32" customFormat="1" x14ac:dyDescent="0.25"/>
    <row r="163" s="32" customFormat="1" x14ac:dyDescent="0.25"/>
    <row r="164" s="32" customFormat="1" x14ac:dyDescent="0.25"/>
    <row r="165" s="32" customFormat="1" x14ac:dyDescent="0.25"/>
    <row r="166" s="32" customFormat="1" x14ac:dyDescent="0.25"/>
    <row r="167" s="32" customFormat="1" x14ac:dyDescent="0.25"/>
    <row r="168" s="32" customFormat="1" x14ac:dyDescent="0.25"/>
    <row r="169" s="32" customFormat="1" x14ac:dyDescent="0.25"/>
    <row r="170" s="32" customFormat="1" x14ac:dyDescent="0.25"/>
    <row r="171" s="32" customFormat="1" x14ac:dyDescent="0.25"/>
    <row r="172" s="32" customFormat="1" x14ac:dyDescent="0.25"/>
    <row r="173" s="32" customFormat="1" x14ac:dyDescent="0.25"/>
    <row r="174" s="32" customFormat="1" x14ac:dyDescent="0.25"/>
    <row r="175" s="32" customFormat="1" x14ac:dyDescent="0.25"/>
    <row r="176" s="32" customFormat="1" x14ac:dyDescent="0.25"/>
    <row r="177" s="32" customFormat="1" x14ac:dyDescent="0.25"/>
    <row r="178" s="32" customFormat="1" x14ac:dyDescent="0.25"/>
    <row r="179" s="32" customFormat="1" x14ac:dyDescent="0.25"/>
    <row r="180" s="32" customFormat="1" x14ac:dyDescent="0.25"/>
    <row r="181" s="32" customFormat="1" x14ac:dyDescent="0.25"/>
    <row r="182" s="32" customFormat="1" x14ac:dyDescent="0.25"/>
    <row r="183" s="32" customFormat="1" x14ac:dyDescent="0.25"/>
    <row r="184" s="32" customFormat="1" x14ac:dyDescent="0.25"/>
    <row r="185" s="32" customFormat="1" x14ac:dyDescent="0.25"/>
    <row r="186" s="32" customFormat="1" x14ac:dyDescent="0.25"/>
    <row r="187" s="32" customFormat="1" x14ac:dyDescent="0.25"/>
    <row r="188" s="32" customFormat="1" x14ac:dyDescent="0.25"/>
    <row r="189" s="32" customFormat="1" x14ac:dyDescent="0.25"/>
    <row r="190" s="32" customFormat="1" x14ac:dyDescent="0.25"/>
    <row r="191" s="32" customFormat="1" x14ac:dyDescent="0.25"/>
    <row r="192" s="32" customFormat="1" x14ac:dyDescent="0.25"/>
    <row r="193" s="32" customFormat="1" x14ac:dyDescent="0.25"/>
    <row r="194" s="32" customFormat="1" x14ac:dyDescent="0.25"/>
    <row r="195" s="32" customFormat="1" x14ac:dyDescent="0.25"/>
    <row r="196" s="32" customFormat="1" x14ac:dyDescent="0.25"/>
    <row r="197" s="32" customFormat="1" x14ac:dyDescent="0.25"/>
    <row r="198" s="32" customFormat="1" x14ac:dyDescent="0.25"/>
    <row r="199" s="32" customFormat="1" x14ac:dyDescent="0.25"/>
    <row r="200" s="32" customFormat="1" x14ac:dyDescent="0.25"/>
    <row r="201" s="32" customFormat="1" x14ac:dyDescent="0.25"/>
    <row r="202" s="32" customFormat="1" x14ac:dyDescent="0.25"/>
    <row r="203" s="32" customFormat="1" x14ac:dyDescent="0.25"/>
    <row r="204" s="32" customFormat="1" x14ac:dyDescent="0.25"/>
    <row r="205" s="32" customFormat="1" x14ac:dyDescent="0.25"/>
    <row r="206" s="32" customFormat="1" x14ac:dyDescent="0.25"/>
    <row r="207" s="32" customFormat="1" x14ac:dyDescent="0.25"/>
    <row r="208" s="32" customFormat="1" x14ac:dyDescent="0.25"/>
    <row r="209" s="32" customFormat="1" x14ac:dyDescent="0.25"/>
    <row r="210" s="32" customFormat="1" x14ac:dyDescent="0.25"/>
    <row r="211" s="32" customFormat="1" x14ac:dyDescent="0.25"/>
    <row r="212" s="32" customFormat="1" x14ac:dyDescent="0.25"/>
    <row r="213" s="32" customFormat="1" x14ac:dyDescent="0.25"/>
    <row r="214" s="32" customFormat="1" x14ac:dyDescent="0.25"/>
    <row r="215" s="32" customFormat="1" x14ac:dyDescent="0.25"/>
    <row r="216" s="32" customFormat="1" x14ac:dyDescent="0.25"/>
    <row r="217" s="32" customFormat="1" x14ac:dyDescent="0.25"/>
    <row r="218" s="32" customFormat="1" x14ac:dyDescent="0.25"/>
    <row r="219" s="32" customFormat="1" x14ac:dyDescent="0.25"/>
    <row r="220" s="32" customFormat="1" x14ac:dyDescent="0.25"/>
    <row r="221" s="32" customFormat="1" x14ac:dyDescent="0.25"/>
    <row r="222" s="32" customFormat="1" x14ac:dyDescent="0.25"/>
    <row r="223" s="32" customFormat="1" x14ac:dyDescent="0.25"/>
    <row r="224" s="32" customFormat="1" x14ac:dyDescent="0.25"/>
    <row r="225" s="32" customFormat="1" x14ac:dyDescent="0.25"/>
    <row r="226" s="32" customFormat="1" x14ac:dyDescent="0.25"/>
    <row r="227" s="32" customFormat="1" x14ac:dyDescent="0.25"/>
    <row r="228" s="32" customFormat="1" x14ac:dyDescent="0.25"/>
    <row r="229" s="32" customFormat="1" x14ac:dyDescent="0.25"/>
    <row r="230" s="32" customFormat="1" x14ac:dyDescent="0.25"/>
    <row r="231" s="32" customFormat="1" x14ac:dyDescent="0.25"/>
    <row r="232" s="32" customFormat="1" x14ac:dyDescent="0.25"/>
    <row r="233" s="32" customFormat="1" x14ac:dyDescent="0.25"/>
    <row r="234" s="32" customFormat="1" x14ac:dyDescent="0.25"/>
    <row r="235" s="32" customFormat="1" x14ac:dyDescent="0.25"/>
    <row r="236" s="32" customFormat="1" x14ac:dyDescent="0.25"/>
    <row r="237" s="32" customFormat="1" x14ac:dyDescent="0.25"/>
    <row r="238" s="32" customFormat="1" x14ac:dyDescent="0.25"/>
    <row r="239" s="32" customFormat="1" x14ac:dyDescent="0.25"/>
    <row r="240" s="32" customFormat="1" x14ac:dyDescent="0.25"/>
    <row r="241" s="32" customFormat="1" x14ac:dyDescent="0.25"/>
    <row r="242" s="32" customFormat="1" x14ac:dyDescent="0.25"/>
    <row r="243" s="32" customFormat="1" x14ac:dyDescent="0.25"/>
    <row r="244" s="32" customFormat="1" x14ac:dyDescent="0.25"/>
    <row r="245" s="32" customFormat="1" x14ac:dyDescent="0.25"/>
    <row r="246" s="32" customFormat="1" x14ac:dyDescent="0.25"/>
    <row r="247" s="32" customFormat="1" x14ac:dyDescent="0.25"/>
    <row r="248" s="32" customFormat="1" x14ac:dyDescent="0.25"/>
    <row r="249" s="32" customFormat="1" x14ac:dyDescent="0.25"/>
    <row r="250" s="32" customFormat="1" x14ac:dyDescent="0.25"/>
    <row r="251" s="32" customFormat="1" x14ac:dyDescent="0.25"/>
    <row r="252" s="32" customFormat="1" x14ac:dyDescent="0.25"/>
    <row r="253" s="32" customFormat="1" x14ac:dyDescent="0.25"/>
    <row r="254" s="32" customFormat="1" x14ac:dyDescent="0.25"/>
    <row r="255" s="32" customFormat="1" x14ac:dyDescent="0.25"/>
    <row r="256" s="32" customFormat="1" x14ac:dyDescent="0.25"/>
    <row r="257" s="32" customFormat="1" x14ac:dyDescent="0.25"/>
    <row r="258" s="32" customFormat="1" x14ac:dyDescent="0.25"/>
    <row r="259" s="32" customFormat="1" x14ac:dyDescent="0.25"/>
    <row r="260" s="32" customFormat="1" x14ac:dyDescent="0.25"/>
    <row r="261" s="32" customFormat="1" x14ac:dyDescent="0.25"/>
    <row r="262" s="32" customFormat="1" x14ac:dyDescent="0.25"/>
    <row r="263" s="32" customFormat="1" x14ac:dyDescent="0.25"/>
    <row r="264" s="32" customFormat="1" x14ac:dyDescent="0.25"/>
    <row r="265" s="32" customFormat="1" x14ac:dyDescent="0.25"/>
    <row r="266" s="32" customFormat="1" x14ac:dyDescent="0.25"/>
    <row r="267" s="32" customFormat="1" x14ac:dyDescent="0.25"/>
    <row r="268" s="32" customFormat="1" x14ac:dyDescent="0.25"/>
    <row r="269" s="32" customFormat="1" x14ac:dyDescent="0.25"/>
    <row r="270" s="32" customFormat="1" x14ac:dyDescent="0.25"/>
    <row r="271" s="32" customFormat="1" x14ac:dyDescent="0.25"/>
    <row r="272" s="32" customFormat="1" x14ac:dyDescent="0.25"/>
    <row r="273" s="32" customFormat="1" x14ac:dyDescent="0.25"/>
    <row r="274" s="32" customFormat="1" x14ac:dyDescent="0.25"/>
    <row r="275" s="32" customFormat="1" x14ac:dyDescent="0.25"/>
    <row r="276" s="32" customFormat="1" x14ac:dyDescent="0.25"/>
    <row r="277" s="32" customFormat="1" x14ac:dyDescent="0.25"/>
    <row r="278" s="32" customFormat="1" x14ac:dyDescent="0.25"/>
    <row r="279" s="32" customFormat="1" x14ac:dyDescent="0.25"/>
    <row r="280" s="32" customFormat="1" x14ac:dyDescent="0.25"/>
    <row r="281" s="32" customFormat="1" x14ac:dyDescent="0.25"/>
    <row r="282" s="32" customFormat="1" x14ac:dyDescent="0.25"/>
    <row r="283" s="32" customFormat="1" x14ac:dyDescent="0.25"/>
    <row r="284" s="32" customFormat="1" x14ac:dyDescent="0.25"/>
    <row r="285" s="32" customFormat="1" x14ac:dyDescent="0.25"/>
    <row r="286" s="32" customFormat="1" x14ac:dyDescent="0.25"/>
    <row r="287" s="32" customFormat="1" x14ac:dyDescent="0.25"/>
    <row r="288" s="32" customFormat="1" x14ac:dyDescent="0.25"/>
    <row r="289" s="32" customFormat="1" x14ac:dyDescent="0.25"/>
    <row r="290" s="32" customFormat="1" x14ac:dyDescent="0.25"/>
    <row r="291" s="32" customFormat="1" x14ac:dyDescent="0.25"/>
    <row r="292" s="32" customFormat="1" x14ac:dyDescent="0.25"/>
    <row r="293" s="32" customFormat="1" x14ac:dyDescent="0.25"/>
    <row r="294" s="32" customFormat="1" x14ac:dyDescent="0.25"/>
    <row r="295" s="32" customFormat="1" x14ac:dyDescent="0.25"/>
    <row r="296" s="32" customFormat="1" x14ac:dyDescent="0.25"/>
    <row r="297" s="32" customFormat="1" x14ac:dyDescent="0.25"/>
    <row r="298" s="32" customFormat="1" x14ac:dyDescent="0.25"/>
    <row r="299" s="32" customFormat="1" x14ac:dyDescent="0.25"/>
    <row r="300" s="32" customFormat="1" x14ac:dyDescent="0.25"/>
    <row r="301" s="32" customFormat="1" x14ac:dyDescent="0.25"/>
    <row r="302" s="32" customFormat="1" x14ac:dyDescent="0.25"/>
    <row r="303" s="32" customFormat="1" x14ac:dyDescent="0.25"/>
    <row r="304" s="32" customFormat="1" x14ac:dyDescent="0.25"/>
    <row r="305" s="32" customFormat="1" x14ac:dyDescent="0.25"/>
    <row r="306" s="32" customFormat="1" x14ac:dyDescent="0.25"/>
    <row r="307" s="32" customFormat="1" x14ac:dyDescent="0.25"/>
    <row r="308" s="32" customFormat="1" x14ac:dyDescent="0.25"/>
    <row r="309" s="32" customFormat="1" x14ac:dyDescent="0.25"/>
    <row r="310" s="32" customFormat="1" x14ac:dyDescent="0.25"/>
    <row r="311" s="32" customFormat="1" x14ac:dyDescent="0.25"/>
    <row r="312" s="32" customFormat="1" x14ac:dyDescent="0.25"/>
    <row r="313" s="32" customFormat="1" x14ac:dyDescent="0.25"/>
    <row r="314" s="32" customFormat="1" x14ac:dyDescent="0.25"/>
    <row r="315" s="32" customFormat="1" x14ac:dyDescent="0.25"/>
    <row r="316" s="32" customFormat="1" x14ac:dyDescent="0.25"/>
    <row r="317" s="32" customFormat="1" x14ac:dyDescent="0.25"/>
    <row r="318" s="32" customFormat="1"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B0F68-0BE3-4BD7-8753-A65DBBF15B38}">
  <sheetPr codeName="Sheet4"/>
  <dimension ref="A1:BF273"/>
  <sheetViews>
    <sheetView workbookViewId="0">
      <selection activeCell="L18" sqref="L18"/>
    </sheetView>
  </sheetViews>
  <sheetFormatPr defaultRowHeight="15" x14ac:dyDescent="0.25"/>
  <cols>
    <col min="1" max="1" width="9.140625" style="7" customWidth="1"/>
    <col min="2" max="2" width="9.140625" style="7"/>
    <col min="3" max="3" width="10.42578125" style="7" bestFit="1" customWidth="1"/>
    <col min="4" max="8" width="9.140625" style="7"/>
    <col min="9" max="9" width="10.7109375" style="7" customWidth="1"/>
    <col min="10" max="10" width="9.140625" style="7"/>
    <col min="11" max="11" width="9.140625" style="7" customWidth="1"/>
    <col min="12" max="12" width="9.140625" style="7"/>
    <col min="13" max="15" width="9.140625" style="41"/>
    <col min="16" max="16" width="0" style="41" hidden="1" customWidth="1"/>
    <col min="17" max="17" width="2.42578125" style="41" hidden="1" customWidth="1"/>
    <col min="18" max="18" width="12.28515625" style="41" hidden="1" customWidth="1"/>
    <col min="19" max="19" width="45.7109375" style="41" hidden="1" customWidth="1"/>
    <col min="20" max="58" width="9.140625" style="41"/>
    <col min="59" max="16384" width="9.140625" style="7"/>
  </cols>
  <sheetData>
    <row r="1" spans="1:19" ht="16.5" thickBot="1" x14ac:dyDescent="0.3">
      <c r="A1" s="180" t="s">
        <v>46</v>
      </c>
      <c r="B1" s="181"/>
      <c r="C1" s="181"/>
      <c r="D1" s="181"/>
      <c r="E1" s="181"/>
      <c r="F1" s="181"/>
      <c r="G1" s="181"/>
      <c r="H1" s="181"/>
      <c r="I1" s="181"/>
      <c r="J1" s="181"/>
      <c r="K1" s="182"/>
      <c r="R1" s="42" t="s">
        <v>62</v>
      </c>
      <c r="S1" s="42" t="s">
        <v>63</v>
      </c>
    </row>
    <row r="2" spans="1:19" ht="16.5" thickBot="1" x14ac:dyDescent="0.3">
      <c r="A2" s="183"/>
      <c r="B2" s="184"/>
      <c r="C2" s="184"/>
      <c r="D2" s="184"/>
      <c r="E2" s="184"/>
      <c r="F2" s="184"/>
      <c r="G2" s="184"/>
      <c r="H2" s="184"/>
      <c r="I2" s="184"/>
      <c r="J2" s="184"/>
      <c r="K2" s="185"/>
      <c r="R2" s="43">
        <v>72</v>
      </c>
      <c r="S2" s="42">
        <v>0</v>
      </c>
    </row>
    <row r="3" spans="1:19" ht="16.5" hidden="1" thickBot="1" x14ac:dyDescent="0.3">
      <c r="R3" s="43">
        <v>73</v>
      </c>
      <c r="S3" s="42">
        <v>26.5</v>
      </c>
    </row>
    <row r="4" spans="1:19" ht="16.5" thickBot="1" x14ac:dyDescent="0.3">
      <c r="A4" s="186" t="s">
        <v>47</v>
      </c>
      <c r="B4" s="187"/>
      <c r="C4" s="187"/>
      <c r="D4" s="187"/>
      <c r="E4" s="187"/>
      <c r="F4" s="187"/>
      <c r="G4" s="187"/>
      <c r="H4" s="187"/>
      <c r="I4" s="187"/>
      <c r="J4" s="187"/>
      <c r="K4" s="187"/>
      <c r="R4" s="43">
        <v>74</v>
      </c>
      <c r="S4" s="42">
        <v>25.5</v>
      </c>
    </row>
    <row r="5" spans="1:19" ht="16.5" thickBot="1" x14ac:dyDescent="0.3">
      <c r="A5" s="187"/>
      <c r="B5" s="187"/>
      <c r="C5" s="187"/>
      <c r="D5" s="187"/>
      <c r="E5" s="187"/>
      <c r="F5" s="187"/>
      <c r="G5" s="187"/>
      <c r="H5" s="187"/>
      <c r="I5" s="187"/>
      <c r="J5" s="187"/>
      <c r="K5" s="187"/>
      <c r="R5" s="43">
        <v>75</v>
      </c>
      <c r="S5" s="42">
        <v>24.6</v>
      </c>
    </row>
    <row r="6" spans="1:19" ht="16.5" thickBot="1" x14ac:dyDescent="0.3">
      <c r="A6" s="187"/>
      <c r="B6" s="187"/>
      <c r="C6" s="187"/>
      <c r="D6" s="187"/>
      <c r="E6" s="187"/>
      <c r="F6" s="187"/>
      <c r="G6" s="187"/>
      <c r="H6" s="187"/>
      <c r="I6" s="187"/>
      <c r="J6" s="187"/>
      <c r="K6" s="187"/>
      <c r="R6" s="43">
        <v>76</v>
      </c>
      <c r="S6" s="42">
        <v>23.7</v>
      </c>
    </row>
    <row r="7" spans="1:19" ht="16.5" thickBot="1" x14ac:dyDescent="0.3">
      <c r="A7" s="187"/>
      <c r="B7" s="187"/>
      <c r="C7" s="187"/>
      <c r="D7" s="187"/>
      <c r="E7" s="187"/>
      <c r="F7" s="187"/>
      <c r="G7" s="187"/>
      <c r="H7" s="187"/>
      <c r="I7" s="187"/>
      <c r="J7" s="187"/>
      <c r="K7" s="187"/>
      <c r="R7" s="43">
        <v>77</v>
      </c>
      <c r="S7" s="42">
        <v>22.9</v>
      </c>
    </row>
    <row r="8" spans="1:19" ht="16.5" thickBot="1" x14ac:dyDescent="0.3">
      <c r="A8" s="187"/>
      <c r="B8" s="187"/>
      <c r="C8" s="187"/>
      <c r="D8" s="187"/>
      <c r="E8" s="187"/>
      <c r="F8" s="187"/>
      <c r="G8" s="187"/>
      <c r="H8" s="187"/>
      <c r="I8" s="187"/>
      <c r="J8" s="187"/>
      <c r="K8" s="187"/>
      <c r="R8" s="43">
        <v>78</v>
      </c>
      <c r="S8" s="42">
        <v>22</v>
      </c>
    </row>
    <row r="9" spans="1:19" ht="21.75" thickBot="1" x14ac:dyDescent="0.4">
      <c r="A9" s="178" t="s">
        <v>64</v>
      </c>
      <c r="B9" s="179"/>
      <c r="C9" s="179"/>
      <c r="D9" s="38"/>
      <c r="E9" s="39"/>
      <c r="F9" s="39"/>
      <c r="G9" s="39"/>
      <c r="H9" s="39"/>
      <c r="I9" s="39"/>
      <c r="J9" s="39"/>
      <c r="K9" s="40"/>
      <c r="R9" s="43">
        <v>79</v>
      </c>
      <c r="S9" s="42">
        <v>21.1</v>
      </c>
    </row>
    <row r="10" spans="1:19" ht="16.5" thickBot="1" x14ac:dyDescent="0.3">
      <c r="A10" s="8"/>
      <c r="B10" s="8"/>
      <c r="C10" s="8"/>
      <c r="D10" s="8"/>
      <c r="E10" s="8"/>
      <c r="F10" s="8"/>
      <c r="G10" s="8"/>
      <c r="H10" s="8"/>
      <c r="I10" s="8"/>
      <c r="J10" s="8"/>
      <c r="K10" s="8"/>
      <c r="R10" s="43">
        <v>80</v>
      </c>
      <c r="S10" s="42">
        <v>20.2</v>
      </c>
    </row>
    <row r="11" spans="1:19" ht="16.5" thickBot="1" x14ac:dyDescent="0.3">
      <c r="A11" s="189" t="s">
        <v>57</v>
      </c>
      <c r="B11" s="190"/>
      <c r="C11" s="33">
        <v>46022</v>
      </c>
      <c r="D11" s="8"/>
      <c r="E11" s="155" t="s">
        <v>58</v>
      </c>
      <c r="F11" s="191"/>
      <c r="G11" s="192">
        <v>9239</v>
      </c>
      <c r="H11" s="193"/>
      <c r="I11" s="8" t="s">
        <v>45</v>
      </c>
      <c r="J11" s="34" t="s">
        <v>59</v>
      </c>
      <c r="K11" s="35">
        <f>DATEDIF(G11,C11,"Y")</f>
        <v>100</v>
      </c>
      <c r="R11" s="43">
        <v>81</v>
      </c>
      <c r="S11" s="42">
        <v>19.399999999999999</v>
      </c>
    </row>
    <row r="12" spans="1:19" ht="16.5" thickBot="1" x14ac:dyDescent="0.3">
      <c r="A12" s="8"/>
      <c r="B12" s="8"/>
      <c r="C12" s="8"/>
      <c r="D12" s="8"/>
      <c r="E12" s="8"/>
      <c r="F12" s="8"/>
      <c r="G12" s="8"/>
      <c r="H12" s="8"/>
      <c r="I12" s="8"/>
      <c r="J12" s="8"/>
      <c r="K12" s="8"/>
      <c r="R12" s="43">
        <v>82</v>
      </c>
      <c r="S12" s="42">
        <v>18.5</v>
      </c>
    </row>
    <row r="13" spans="1:19" ht="16.5" thickBot="1" x14ac:dyDescent="0.3">
      <c r="A13" t="s">
        <v>60</v>
      </c>
      <c r="B13" s="8"/>
      <c r="C13" s="8"/>
      <c r="D13" s="8"/>
      <c r="E13" s="8"/>
      <c r="F13" s="194">
        <v>500000</v>
      </c>
      <c r="G13" s="195"/>
      <c r="H13" s="8"/>
      <c r="I13" t="s">
        <v>61</v>
      </c>
      <c r="J13" s="8"/>
      <c r="K13" s="34">
        <f>VLOOKUP(K11, R:S, 2, FALSE)</f>
        <v>6.3</v>
      </c>
      <c r="R13" s="43">
        <v>83</v>
      </c>
      <c r="S13" s="42">
        <v>17.7</v>
      </c>
    </row>
    <row r="14" spans="1:19" ht="16.5" thickBot="1" x14ac:dyDescent="0.3">
      <c r="A14" s="8"/>
      <c r="B14" s="8"/>
      <c r="C14" s="8"/>
      <c r="D14" s="8"/>
      <c r="E14" s="8"/>
      <c r="F14" s="8"/>
      <c r="G14" s="8"/>
      <c r="H14" s="8"/>
      <c r="I14" s="8"/>
      <c r="J14" s="8"/>
      <c r="K14" s="8"/>
      <c r="R14" s="43">
        <v>84</v>
      </c>
      <c r="S14" s="42">
        <v>16.8</v>
      </c>
    </row>
    <row r="15" spans="1:19" ht="16.5" thickBot="1" x14ac:dyDescent="0.3">
      <c r="A15" s="196" t="s">
        <v>46</v>
      </c>
      <c r="B15" s="197"/>
      <c r="C15" s="197"/>
      <c r="D15" s="197"/>
      <c r="E15" s="197"/>
      <c r="F15" s="198"/>
      <c r="G15" s="199">
        <f>F13/K13</f>
        <v>79365.079365079364</v>
      </c>
      <c r="H15" s="200"/>
      <c r="I15" s="8"/>
      <c r="J15" s="8"/>
      <c r="K15" s="8"/>
      <c r="R15" s="43">
        <v>85</v>
      </c>
      <c r="S15" s="42">
        <v>16</v>
      </c>
    </row>
    <row r="16" spans="1:19" ht="16.5" thickBot="1" x14ac:dyDescent="0.3">
      <c r="A16" s="8"/>
      <c r="B16" s="8"/>
      <c r="C16" s="8"/>
      <c r="D16" s="8"/>
      <c r="E16" s="8"/>
      <c r="F16" s="8"/>
      <c r="G16" s="8"/>
      <c r="H16" s="8"/>
      <c r="I16" s="8"/>
      <c r="J16" s="8"/>
      <c r="K16" s="8"/>
      <c r="R16" s="43">
        <v>86</v>
      </c>
      <c r="S16" s="42">
        <v>15.2</v>
      </c>
    </row>
    <row r="17" spans="1:19" ht="16.5" thickBot="1" x14ac:dyDescent="0.3">
      <c r="A17" s="36" t="s">
        <v>48</v>
      </c>
      <c r="R17" s="43">
        <v>87</v>
      </c>
      <c r="S17" s="42">
        <v>14.4</v>
      </c>
    </row>
    <row r="18" spans="1:19" ht="16.5" thickBot="1" x14ac:dyDescent="0.3">
      <c r="R18" s="43">
        <v>88</v>
      </c>
      <c r="S18" s="42">
        <v>12.7</v>
      </c>
    </row>
    <row r="19" spans="1:19" ht="16.5" thickBot="1" x14ac:dyDescent="0.3">
      <c r="A19" s="188" t="s">
        <v>49</v>
      </c>
      <c r="B19" s="187"/>
      <c r="C19" s="187"/>
      <c r="D19" s="187"/>
      <c r="E19" s="187"/>
      <c r="F19" s="187"/>
      <c r="G19" s="187"/>
      <c r="H19" s="187"/>
      <c r="I19" s="187"/>
      <c r="J19" s="187"/>
      <c r="K19" s="187"/>
      <c r="R19" s="43">
        <v>89</v>
      </c>
      <c r="S19" s="42">
        <v>12</v>
      </c>
    </row>
    <row r="20" spans="1:19" ht="16.5" thickBot="1" x14ac:dyDescent="0.3">
      <c r="A20" s="187"/>
      <c r="B20" s="187"/>
      <c r="C20" s="187"/>
      <c r="D20" s="187"/>
      <c r="E20" s="187"/>
      <c r="F20" s="187"/>
      <c r="G20" s="187"/>
      <c r="H20" s="187"/>
      <c r="I20" s="187"/>
      <c r="J20" s="187"/>
      <c r="K20" s="187"/>
      <c r="R20" s="43">
        <v>90</v>
      </c>
      <c r="S20" s="42">
        <v>11.4</v>
      </c>
    </row>
    <row r="21" spans="1:19" ht="16.5" thickBot="1" x14ac:dyDescent="0.3">
      <c r="R21" s="43">
        <v>91</v>
      </c>
      <c r="S21" s="42">
        <v>10.8</v>
      </c>
    </row>
    <row r="22" spans="1:19" ht="16.5" thickBot="1" x14ac:dyDescent="0.3">
      <c r="A22" s="188" t="s">
        <v>50</v>
      </c>
      <c r="B22" s="187"/>
      <c r="C22" s="187"/>
      <c r="D22" s="187"/>
      <c r="E22" s="187"/>
      <c r="F22" s="187"/>
      <c r="G22" s="187"/>
      <c r="H22" s="187"/>
      <c r="I22" s="187"/>
      <c r="J22" s="187"/>
      <c r="K22" s="187"/>
      <c r="R22" s="43">
        <v>92</v>
      </c>
      <c r="S22" s="42">
        <v>10.199999999999999</v>
      </c>
    </row>
    <row r="23" spans="1:19" ht="16.5" thickBot="1" x14ac:dyDescent="0.3">
      <c r="A23" s="187"/>
      <c r="B23" s="187"/>
      <c r="C23" s="187"/>
      <c r="D23" s="187"/>
      <c r="E23" s="187"/>
      <c r="F23" s="187"/>
      <c r="G23" s="187"/>
      <c r="H23" s="187"/>
      <c r="I23" s="187"/>
      <c r="J23" s="187"/>
      <c r="K23" s="187"/>
      <c r="R23" s="43">
        <v>93</v>
      </c>
      <c r="S23" s="42">
        <v>9.6</v>
      </c>
    </row>
    <row r="24" spans="1:19" ht="16.5" thickBot="1" x14ac:dyDescent="0.3">
      <c r="A24" s="187"/>
      <c r="B24" s="187"/>
      <c r="C24" s="187"/>
      <c r="D24" s="187"/>
      <c r="E24" s="187"/>
      <c r="F24" s="187"/>
      <c r="G24" s="187"/>
      <c r="H24" s="187"/>
      <c r="I24" s="187"/>
      <c r="J24" s="187"/>
      <c r="K24" s="187"/>
      <c r="R24" s="43">
        <v>94</v>
      </c>
      <c r="S24" s="42">
        <v>9.1</v>
      </c>
    </row>
    <row r="25" spans="1:19" ht="17.25" customHeight="1" thickBot="1" x14ac:dyDescent="0.3">
      <c r="A25" s="187"/>
      <c r="B25" s="187"/>
      <c r="C25" s="187"/>
      <c r="D25" s="187"/>
      <c r="E25" s="187"/>
      <c r="F25" s="187"/>
      <c r="G25" s="187"/>
      <c r="H25" s="187"/>
      <c r="I25" s="187"/>
      <c r="J25" s="187"/>
      <c r="K25" s="187"/>
      <c r="R25" s="43">
        <v>95</v>
      </c>
      <c r="S25" s="42">
        <v>8.6</v>
      </c>
    </row>
    <row r="26" spans="1:19" ht="16.5" thickBot="1" x14ac:dyDescent="0.3">
      <c r="R26" s="43">
        <v>96</v>
      </c>
      <c r="S26" s="42">
        <v>8.1</v>
      </c>
    </row>
    <row r="27" spans="1:19" ht="16.5" thickBot="1" x14ac:dyDescent="0.3">
      <c r="A27" s="188" t="s">
        <v>51</v>
      </c>
      <c r="B27" s="187"/>
      <c r="C27" s="187"/>
      <c r="D27" s="187"/>
      <c r="E27" s="187"/>
      <c r="F27" s="187"/>
      <c r="G27" s="187"/>
      <c r="H27" s="187"/>
      <c r="I27" s="187"/>
      <c r="J27" s="187"/>
      <c r="K27" s="187"/>
      <c r="R27" s="43">
        <v>97</v>
      </c>
      <c r="S27" s="42">
        <v>7.6</v>
      </c>
    </row>
    <row r="28" spans="1:19" ht="16.5" thickBot="1" x14ac:dyDescent="0.3">
      <c r="A28" s="187"/>
      <c r="B28" s="187"/>
      <c r="C28" s="187"/>
      <c r="D28" s="187"/>
      <c r="E28" s="187"/>
      <c r="F28" s="187"/>
      <c r="G28" s="187"/>
      <c r="H28" s="187"/>
      <c r="I28" s="187"/>
      <c r="J28" s="187"/>
      <c r="K28" s="187"/>
      <c r="R28" s="43">
        <v>98</v>
      </c>
      <c r="S28" s="42">
        <v>7.1</v>
      </c>
    </row>
    <row r="29" spans="1:19" ht="16.5" thickBot="1" x14ac:dyDescent="0.3">
      <c r="R29" s="43">
        <v>99</v>
      </c>
      <c r="S29" s="42">
        <v>6.7</v>
      </c>
    </row>
    <row r="30" spans="1:19" ht="16.5" thickBot="1" x14ac:dyDescent="0.3">
      <c r="A30" s="188" t="s">
        <v>52</v>
      </c>
      <c r="B30" s="187"/>
      <c r="C30" s="187"/>
      <c r="D30" s="187"/>
      <c r="E30" s="187"/>
      <c r="F30" s="187"/>
      <c r="G30" s="187"/>
      <c r="H30" s="187"/>
      <c r="I30" s="187"/>
      <c r="J30" s="187"/>
      <c r="K30" s="187"/>
      <c r="R30" s="43">
        <v>100</v>
      </c>
      <c r="S30" s="42">
        <v>6.3</v>
      </c>
    </row>
    <row r="31" spans="1:19" ht="16.5" thickBot="1" x14ac:dyDescent="0.3">
      <c r="A31" s="187"/>
      <c r="B31" s="187"/>
      <c r="C31" s="187"/>
      <c r="D31" s="187"/>
      <c r="E31" s="187"/>
      <c r="F31" s="187"/>
      <c r="G31" s="187"/>
      <c r="H31" s="187"/>
      <c r="I31" s="187"/>
      <c r="J31" s="187"/>
      <c r="K31" s="187"/>
      <c r="R31" s="43">
        <v>101</v>
      </c>
      <c r="S31" s="42">
        <v>5.9</v>
      </c>
    </row>
    <row r="32" spans="1:19" ht="16.5" thickBot="1" x14ac:dyDescent="0.3">
      <c r="A32" s="187"/>
      <c r="B32" s="187"/>
      <c r="C32" s="187"/>
      <c r="D32" s="187"/>
      <c r="E32" s="187"/>
      <c r="F32" s="187"/>
      <c r="G32" s="187"/>
      <c r="H32" s="187"/>
      <c r="I32" s="187"/>
      <c r="J32" s="187"/>
      <c r="K32" s="187"/>
      <c r="R32" s="43">
        <v>102</v>
      </c>
      <c r="S32" s="42">
        <v>5.6</v>
      </c>
    </row>
    <row r="33" spans="1:19" ht="16.5" hidden="1" thickBot="1" x14ac:dyDescent="0.3">
      <c r="R33" s="43">
        <v>103</v>
      </c>
      <c r="S33" s="42">
        <v>5.2</v>
      </c>
    </row>
    <row r="34" spans="1:19" ht="16.5" thickBot="1" x14ac:dyDescent="0.3">
      <c r="A34" s="37" t="s">
        <v>53</v>
      </c>
      <c r="R34" s="43">
        <v>104</v>
      </c>
      <c r="S34" s="42">
        <v>4.5999999999999996</v>
      </c>
    </row>
    <row r="35" spans="1:19" ht="16.5" thickBot="1" x14ac:dyDescent="0.3">
      <c r="R35" s="43">
        <v>105</v>
      </c>
      <c r="S35" s="42">
        <v>4.4000000000000004</v>
      </c>
    </row>
    <row r="36" spans="1:19" ht="16.5" thickBot="1" x14ac:dyDescent="0.3">
      <c r="A36" s="188" t="s">
        <v>54</v>
      </c>
      <c r="B36" s="187"/>
      <c r="C36" s="187"/>
      <c r="D36" s="187"/>
      <c r="E36" s="187"/>
      <c r="F36" s="187"/>
      <c r="G36" s="187"/>
      <c r="H36" s="187"/>
      <c r="I36" s="187"/>
      <c r="J36" s="187"/>
      <c r="K36" s="187"/>
      <c r="R36" s="43">
        <v>106</v>
      </c>
      <c r="S36" s="42">
        <v>4.2</v>
      </c>
    </row>
    <row r="37" spans="1:19" ht="16.5" thickBot="1" x14ac:dyDescent="0.3">
      <c r="A37" s="187"/>
      <c r="B37" s="187"/>
      <c r="C37" s="187"/>
      <c r="D37" s="187"/>
      <c r="E37" s="187"/>
      <c r="F37" s="187"/>
      <c r="G37" s="187"/>
      <c r="H37" s="187"/>
      <c r="I37" s="187"/>
      <c r="J37" s="187"/>
      <c r="K37" s="187"/>
      <c r="R37" s="43">
        <v>107</v>
      </c>
      <c r="S37" s="42">
        <v>4</v>
      </c>
    </row>
    <row r="38" spans="1:19" ht="16.5" thickBot="1" x14ac:dyDescent="0.3">
      <c r="R38" s="43">
        <v>108</v>
      </c>
      <c r="S38" s="42">
        <v>3.8</v>
      </c>
    </row>
    <row r="39" spans="1:19" ht="16.5" thickBot="1" x14ac:dyDescent="0.3">
      <c r="A39" s="188" t="s">
        <v>55</v>
      </c>
      <c r="B39" s="187"/>
      <c r="C39" s="187"/>
      <c r="D39" s="187"/>
      <c r="E39" s="187"/>
      <c r="F39" s="187"/>
      <c r="G39" s="187"/>
      <c r="H39" s="187"/>
      <c r="I39" s="187"/>
      <c r="J39" s="187"/>
      <c r="K39" s="187"/>
      <c r="R39" s="43">
        <v>109</v>
      </c>
      <c r="S39" s="42">
        <v>3.7</v>
      </c>
    </row>
    <row r="40" spans="1:19" ht="16.5" thickBot="1" x14ac:dyDescent="0.3">
      <c r="A40" s="187"/>
      <c r="B40" s="187"/>
      <c r="C40" s="187"/>
      <c r="D40" s="187"/>
      <c r="E40" s="187"/>
      <c r="F40" s="187"/>
      <c r="G40" s="187"/>
      <c r="H40" s="187"/>
      <c r="I40" s="187"/>
      <c r="J40" s="187"/>
      <c r="K40" s="187"/>
      <c r="R40" s="43">
        <v>110</v>
      </c>
      <c r="S40" s="42">
        <v>3.5</v>
      </c>
    </row>
    <row r="41" spans="1:19" ht="16.5" thickBot="1" x14ac:dyDescent="0.3">
      <c r="R41" s="43">
        <v>111</v>
      </c>
      <c r="S41" s="42">
        <v>3.4</v>
      </c>
    </row>
    <row r="42" spans="1:19" ht="16.5" thickBot="1" x14ac:dyDescent="0.3">
      <c r="A42" s="37" t="s">
        <v>56</v>
      </c>
      <c r="R42" s="43">
        <v>112</v>
      </c>
      <c r="S42" s="42">
        <v>3.3</v>
      </c>
    </row>
    <row r="43" spans="1:19" ht="16.5" thickBot="1" x14ac:dyDescent="0.3">
      <c r="R43" s="43">
        <v>113</v>
      </c>
      <c r="S43" s="42">
        <v>3.1</v>
      </c>
    </row>
    <row r="44" spans="1:19" s="41" customFormat="1" ht="16.5" thickBot="1" x14ac:dyDescent="0.3">
      <c r="R44" s="43">
        <v>114</v>
      </c>
      <c r="S44" s="42">
        <v>3</v>
      </c>
    </row>
    <row r="45" spans="1:19" s="41" customFormat="1" ht="16.5" thickBot="1" x14ac:dyDescent="0.3">
      <c r="R45" s="43">
        <v>115</v>
      </c>
      <c r="S45" s="42">
        <v>2.9</v>
      </c>
    </row>
    <row r="46" spans="1:19" s="41" customFormat="1" ht="16.5" thickBot="1" x14ac:dyDescent="0.3">
      <c r="R46" s="43">
        <v>116</v>
      </c>
      <c r="S46" s="42">
        <v>2.8</v>
      </c>
    </row>
    <row r="47" spans="1:19" s="41" customFormat="1" ht="16.5" thickBot="1" x14ac:dyDescent="0.3">
      <c r="R47" s="43">
        <v>117</v>
      </c>
      <c r="S47" s="42">
        <v>2.7</v>
      </c>
    </row>
    <row r="48" spans="1:19" s="41" customFormat="1" ht="16.5" thickBot="1" x14ac:dyDescent="0.3">
      <c r="R48" s="43">
        <v>118</v>
      </c>
      <c r="S48" s="42">
        <v>2.5</v>
      </c>
    </row>
    <row r="49" spans="18:19" s="41" customFormat="1" ht="16.5" thickBot="1" x14ac:dyDescent="0.3">
      <c r="R49" s="43">
        <v>119</v>
      </c>
      <c r="S49" s="42">
        <v>2.2999999999999998</v>
      </c>
    </row>
    <row r="50" spans="18:19" s="41" customFormat="1" x14ac:dyDescent="0.25"/>
    <row r="51" spans="18:19" s="41" customFormat="1" x14ac:dyDescent="0.25"/>
    <row r="52" spans="18:19" s="41" customFormat="1" x14ac:dyDescent="0.25"/>
    <row r="53" spans="18:19" s="41" customFormat="1" x14ac:dyDescent="0.25"/>
    <row r="54" spans="18:19" s="41" customFormat="1" x14ac:dyDescent="0.25"/>
    <row r="55" spans="18:19" s="41" customFormat="1" x14ac:dyDescent="0.25"/>
    <row r="56" spans="18:19" s="41" customFormat="1" x14ac:dyDescent="0.25"/>
    <row r="57" spans="18:19" s="41" customFormat="1" x14ac:dyDescent="0.25"/>
    <row r="58" spans="18:19" s="41" customFormat="1" x14ac:dyDescent="0.25"/>
    <row r="59" spans="18:19" s="41" customFormat="1" x14ac:dyDescent="0.25"/>
    <row r="60" spans="18:19" s="41" customFormat="1" x14ac:dyDescent="0.25"/>
    <row r="61" spans="18:19" s="41" customFormat="1" x14ac:dyDescent="0.25"/>
    <row r="62" spans="18:19" s="41" customFormat="1" x14ac:dyDescent="0.25"/>
    <row r="63" spans="18:19" s="41" customFormat="1" x14ac:dyDescent="0.25"/>
    <row r="64" spans="18:19" s="41" customFormat="1" x14ac:dyDescent="0.25"/>
    <row r="65" s="41" customFormat="1" x14ac:dyDescent="0.25"/>
    <row r="66" s="41" customFormat="1" x14ac:dyDescent="0.25"/>
    <row r="67" s="41" customFormat="1" x14ac:dyDescent="0.25"/>
    <row r="68" s="41" customFormat="1" x14ac:dyDescent="0.25"/>
    <row r="69" s="41" customFormat="1" x14ac:dyDescent="0.25"/>
    <row r="70" s="41" customFormat="1" x14ac:dyDescent="0.25"/>
    <row r="71" s="41" customFormat="1" x14ac:dyDescent="0.25"/>
    <row r="72" s="41" customFormat="1" x14ac:dyDescent="0.25"/>
    <row r="73" s="41" customFormat="1" x14ac:dyDescent="0.25"/>
    <row r="74" s="41" customFormat="1" x14ac:dyDescent="0.25"/>
    <row r="75" s="41" customFormat="1" x14ac:dyDescent="0.25"/>
    <row r="76" s="41" customFormat="1" x14ac:dyDescent="0.25"/>
    <row r="77" s="41" customFormat="1" x14ac:dyDescent="0.25"/>
    <row r="78" s="41" customFormat="1" x14ac:dyDescent="0.25"/>
    <row r="79" s="41" customFormat="1" x14ac:dyDescent="0.25"/>
    <row r="80" s="41" customFormat="1" x14ac:dyDescent="0.25"/>
    <row r="81" s="41" customFormat="1" x14ac:dyDescent="0.25"/>
    <row r="82" s="41" customFormat="1" x14ac:dyDescent="0.25"/>
    <row r="83" s="41" customFormat="1" x14ac:dyDescent="0.25"/>
    <row r="84" s="41" customFormat="1" x14ac:dyDescent="0.25"/>
    <row r="85" s="41" customFormat="1" x14ac:dyDescent="0.25"/>
    <row r="86" s="41" customFormat="1" x14ac:dyDescent="0.25"/>
    <row r="87" s="41" customFormat="1" x14ac:dyDescent="0.25"/>
    <row r="88" s="41" customFormat="1" x14ac:dyDescent="0.25"/>
    <row r="89" s="41" customFormat="1" x14ac:dyDescent="0.25"/>
    <row r="90" s="41" customFormat="1" x14ac:dyDescent="0.25"/>
    <row r="91" s="41" customFormat="1" x14ac:dyDescent="0.25"/>
    <row r="92" s="41" customFormat="1" x14ac:dyDescent="0.25"/>
    <row r="93" s="41" customFormat="1" x14ac:dyDescent="0.25"/>
    <row r="94" s="41" customFormat="1" x14ac:dyDescent="0.25"/>
    <row r="95" s="41" customFormat="1" x14ac:dyDescent="0.25"/>
    <row r="96" s="41" customFormat="1" x14ac:dyDescent="0.25"/>
    <row r="97" s="41" customFormat="1" x14ac:dyDescent="0.25"/>
    <row r="98" s="41" customFormat="1" x14ac:dyDescent="0.25"/>
    <row r="99" s="41" customFormat="1" x14ac:dyDescent="0.25"/>
    <row r="100" s="41" customFormat="1" x14ac:dyDescent="0.25"/>
    <row r="101" s="41" customFormat="1" x14ac:dyDescent="0.25"/>
    <row r="102" s="41" customFormat="1" x14ac:dyDescent="0.25"/>
    <row r="103" s="41" customFormat="1" x14ac:dyDescent="0.25"/>
    <row r="104" s="41" customFormat="1" x14ac:dyDescent="0.25"/>
    <row r="105" s="41" customFormat="1" x14ac:dyDescent="0.25"/>
    <row r="106" s="41" customFormat="1" x14ac:dyDescent="0.25"/>
    <row r="107" s="41" customFormat="1" x14ac:dyDescent="0.25"/>
    <row r="108" s="41" customFormat="1" x14ac:dyDescent="0.25"/>
    <row r="109" s="41" customFormat="1" x14ac:dyDescent="0.25"/>
    <row r="110" s="41" customFormat="1" x14ac:dyDescent="0.25"/>
    <row r="111" s="41" customFormat="1" x14ac:dyDescent="0.25"/>
    <row r="112" s="41" customFormat="1" x14ac:dyDescent="0.25"/>
    <row r="113" s="41" customFormat="1" x14ac:dyDescent="0.25"/>
    <row r="114" s="41" customFormat="1" x14ac:dyDescent="0.25"/>
    <row r="115" s="41" customFormat="1" x14ac:dyDescent="0.25"/>
    <row r="116" s="41" customFormat="1" x14ac:dyDescent="0.25"/>
    <row r="117" s="41" customFormat="1" x14ac:dyDescent="0.25"/>
    <row r="118" s="41" customFormat="1" x14ac:dyDescent="0.25"/>
    <row r="119" s="41" customFormat="1" x14ac:dyDescent="0.25"/>
    <row r="120" s="41" customFormat="1" x14ac:dyDescent="0.25"/>
    <row r="121" s="41" customFormat="1" x14ac:dyDescent="0.25"/>
    <row r="122" s="41" customFormat="1" x14ac:dyDescent="0.25"/>
    <row r="123" s="41" customFormat="1" x14ac:dyDescent="0.25"/>
    <row r="124" s="41" customFormat="1" x14ac:dyDescent="0.25"/>
    <row r="125" s="41" customFormat="1" x14ac:dyDescent="0.25"/>
    <row r="126" s="41" customFormat="1" x14ac:dyDescent="0.25"/>
    <row r="127" s="41" customFormat="1" x14ac:dyDescent="0.25"/>
    <row r="128" s="41" customFormat="1" x14ac:dyDescent="0.25"/>
    <row r="129" s="41" customFormat="1" x14ac:dyDescent="0.25"/>
    <row r="130" s="41" customFormat="1" x14ac:dyDescent="0.25"/>
    <row r="131" s="41" customFormat="1" x14ac:dyDescent="0.25"/>
    <row r="132" s="41" customFormat="1" x14ac:dyDescent="0.25"/>
    <row r="133" s="41" customFormat="1" x14ac:dyDescent="0.25"/>
    <row r="134" s="41" customFormat="1" x14ac:dyDescent="0.25"/>
    <row r="135" s="41" customFormat="1" x14ac:dyDescent="0.25"/>
    <row r="136" s="41" customFormat="1" x14ac:dyDescent="0.25"/>
    <row r="137" s="41" customFormat="1" x14ac:dyDescent="0.25"/>
    <row r="138" s="41" customFormat="1" x14ac:dyDescent="0.25"/>
    <row r="139" s="41" customFormat="1" x14ac:dyDescent="0.25"/>
    <row r="140" s="41" customFormat="1" x14ac:dyDescent="0.25"/>
    <row r="141" s="41" customFormat="1" x14ac:dyDescent="0.25"/>
    <row r="142" s="41" customFormat="1" x14ac:dyDescent="0.25"/>
    <row r="143" s="41" customFormat="1" x14ac:dyDescent="0.25"/>
    <row r="144" s="41" customFormat="1" x14ac:dyDescent="0.25"/>
    <row r="145" s="41" customFormat="1" x14ac:dyDescent="0.25"/>
    <row r="146" s="41" customFormat="1" x14ac:dyDescent="0.25"/>
    <row r="147" s="41" customFormat="1" x14ac:dyDescent="0.25"/>
    <row r="148" s="41" customFormat="1" x14ac:dyDescent="0.25"/>
    <row r="149" s="41" customFormat="1" x14ac:dyDescent="0.25"/>
    <row r="150" s="41" customFormat="1" x14ac:dyDescent="0.25"/>
    <row r="151" s="41" customFormat="1" x14ac:dyDescent="0.25"/>
    <row r="152" s="41" customFormat="1" x14ac:dyDescent="0.25"/>
    <row r="153" s="41" customFormat="1" x14ac:dyDescent="0.25"/>
    <row r="154" s="41" customFormat="1" x14ac:dyDescent="0.25"/>
    <row r="155" s="41" customFormat="1" x14ac:dyDescent="0.25"/>
    <row r="156" s="41" customFormat="1" x14ac:dyDescent="0.25"/>
    <row r="157" s="41" customFormat="1" x14ac:dyDescent="0.25"/>
    <row r="158" s="41" customFormat="1" x14ac:dyDescent="0.25"/>
    <row r="159" s="41" customFormat="1" x14ac:dyDescent="0.25"/>
    <row r="160" s="41" customFormat="1" x14ac:dyDescent="0.25"/>
    <row r="161" s="41" customFormat="1" x14ac:dyDescent="0.25"/>
    <row r="162" s="41" customFormat="1" x14ac:dyDescent="0.25"/>
    <row r="163" s="41" customFormat="1" x14ac:dyDescent="0.25"/>
    <row r="164" s="41" customFormat="1" x14ac:dyDescent="0.25"/>
    <row r="165" s="41" customFormat="1" x14ac:dyDescent="0.25"/>
    <row r="166" s="41" customFormat="1" x14ac:dyDescent="0.25"/>
    <row r="167" s="41" customFormat="1" x14ac:dyDescent="0.25"/>
    <row r="168" s="41" customFormat="1" x14ac:dyDescent="0.25"/>
    <row r="169" s="41" customFormat="1" x14ac:dyDescent="0.25"/>
    <row r="170" s="41" customFormat="1" x14ac:dyDescent="0.25"/>
    <row r="171" s="41" customFormat="1" x14ac:dyDescent="0.25"/>
    <row r="172" s="41" customFormat="1" x14ac:dyDescent="0.25"/>
    <row r="173" s="41" customFormat="1" x14ac:dyDescent="0.25"/>
    <row r="174" s="41" customFormat="1" x14ac:dyDescent="0.25"/>
    <row r="175" s="41" customFormat="1" x14ac:dyDescent="0.25"/>
    <row r="176" s="41" customFormat="1" x14ac:dyDescent="0.25"/>
    <row r="177" s="41" customFormat="1" x14ac:dyDescent="0.25"/>
    <row r="178" s="41" customFormat="1" x14ac:dyDescent="0.25"/>
    <row r="179" s="41" customFormat="1" x14ac:dyDescent="0.25"/>
    <row r="180" s="41" customFormat="1" x14ac:dyDescent="0.25"/>
    <row r="181" s="41" customFormat="1" x14ac:dyDescent="0.25"/>
    <row r="182" s="41" customFormat="1" x14ac:dyDescent="0.25"/>
    <row r="183" s="41" customFormat="1" x14ac:dyDescent="0.25"/>
    <row r="184" s="41" customFormat="1" x14ac:dyDescent="0.25"/>
    <row r="185" s="41" customFormat="1" x14ac:dyDescent="0.25"/>
    <row r="186" s="41" customFormat="1" x14ac:dyDescent="0.25"/>
    <row r="187" s="41" customFormat="1" x14ac:dyDescent="0.25"/>
    <row r="188" s="41" customFormat="1" x14ac:dyDescent="0.25"/>
    <row r="189" s="41" customFormat="1" x14ac:dyDescent="0.25"/>
    <row r="190" s="41" customFormat="1" x14ac:dyDescent="0.25"/>
    <row r="191" s="41" customFormat="1" x14ac:dyDescent="0.25"/>
    <row r="192" s="41" customFormat="1" x14ac:dyDescent="0.25"/>
    <row r="193" s="41" customFormat="1" x14ac:dyDescent="0.25"/>
    <row r="194" s="41" customFormat="1" x14ac:dyDescent="0.25"/>
    <row r="195" s="41" customFormat="1" x14ac:dyDescent="0.25"/>
    <row r="196" s="41" customFormat="1" x14ac:dyDescent="0.25"/>
    <row r="197" s="41" customFormat="1" x14ac:dyDescent="0.25"/>
    <row r="198" s="41" customFormat="1" x14ac:dyDescent="0.25"/>
    <row r="199" s="41" customFormat="1" x14ac:dyDescent="0.25"/>
    <row r="200" s="41" customFormat="1" x14ac:dyDescent="0.25"/>
    <row r="201" s="41" customFormat="1" x14ac:dyDescent="0.25"/>
    <row r="202" s="41" customFormat="1" x14ac:dyDescent="0.25"/>
    <row r="203" s="41" customFormat="1" x14ac:dyDescent="0.25"/>
    <row r="204" s="41" customFormat="1" x14ac:dyDescent="0.25"/>
    <row r="205" s="41" customFormat="1" x14ac:dyDescent="0.25"/>
    <row r="206" s="41" customFormat="1" x14ac:dyDescent="0.25"/>
    <row r="207" s="41" customFormat="1" x14ac:dyDescent="0.25"/>
    <row r="208" s="41" customFormat="1" x14ac:dyDescent="0.25"/>
    <row r="209" s="41" customFormat="1" x14ac:dyDescent="0.25"/>
    <row r="210" s="41" customFormat="1" x14ac:dyDescent="0.25"/>
    <row r="211" s="41" customFormat="1" x14ac:dyDescent="0.25"/>
    <row r="212" s="41" customFormat="1" x14ac:dyDescent="0.25"/>
    <row r="213" s="41" customFormat="1" x14ac:dyDescent="0.25"/>
    <row r="214" s="41" customFormat="1" x14ac:dyDescent="0.25"/>
    <row r="215" s="41" customFormat="1" x14ac:dyDescent="0.25"/>
    <row r="216" s="41" customFormat="1" x14ac:dyDescent="0.25"/>
    <row r="217" s="41" customFormat="1" x14ac:dyDescent="0.25"/>
    <row r="218" s="41" customFormat="1" x14ac:dyDescent="0.25"/>
    <row r="219" s="41" customFormat="1" x14ac:dyDescent="0.25"/>
    <row r="220" s="41" customFormat="1" x14ac:dyDescent="0.25"/>
    <row r="221" s="41" customFormat="1" x14ac:dyDescent="0.25"/>
    <row r="222" s="41" customFormat="1" x14ac:dyDescent="0.25"/>
    <row r="223" s="41" customFormat="1" x14ac:dyDescent="0.25"/>
    <row r="224" s="41" customFormat="1" x14ac:dyDescent="0.25"/>
    <row r="225" s="41" customFormat="1" x14ac:dyDescent="0.25"/>
    <row r="226" s="41" customFormat="1" x14ac:dyDescent="0.25"/>
    <row r="227" s="41" customFormat="1" x14ac:dyDescent="0.25"/>
    <row r="228" s="41" customFormat="1" x14ac:dyDescent="0.25"/>
    <row r="229" s="41" customFormat="1" x14ac:dyDescent="0.25"/>
    <row r="230" s="41" customFormat="1" x14ac:dyDescent="0.25"/>
    <row r="231" s="41" customFormat="1" x14ac:dyDescent="0.25"/>
    <row r="232" s="41" customFormat="1" x14ac:dyDescent="0.25"/>
    <row r="233" s="41" customFormat="1" x14ac:dyDescent="0.25"/>
    <row r="234" s="41" customFormat="1" x14ac:dyDescent="0.25"/>
    <row r="235" s="41" customFormat="1" x14ac:dyDescent="0.25"/>
    <row r="236" s="41" customFormat="1" x14ac:dyDescent="0.25"/>
    <row r="237" s="41" customFormat="1" x14ac:dyDescent="0.25"/>
    <row r="238" s="41" customFormat="1" x14ac:dyDescent="0.25"/>
    <row r="239" s="41" customFormat="1" x14ac:dyDescent="0.25"/>
    <row r="240" s="41" customFormat="1" x14ac:dyDescent="0.25"/>
    <row r="241" s="41" customFormat="1" x14ac:dyDescent="0.25"/>
    <row r="242" s="41" customFormat="1" x14ac:dyDescent="0.25"/>
    <row r="243" s="41" customFormat="1" x14ac:dyDescent="0.25"/>
    <row r="244" s="41" customFormat="1" x14ac:dyDescent="0.25"/>
    <row r="245" s="41" customFormat="1" x14ac:dyDescent="0.25"/>
    <row r="246" s="41" customFormat="1" x14ac:dyDescent="0.25"/>
    <row r="247" s="41" customFormat="1" x14ac:dyDescent="0.25"/>
    <row r="248" s="41" customFormat="1" x14ac:dyDescent="0.25"/>
    <row r="249" s="41" customFormat="1" x14ac:dyDescent="0.25"/>
    <row r="250" s="41" customFormat="1" x14ac:dyDescent="0.25"/>
    <row r="251" s="41" customFormat="1" x14ac:dyDescent="0.25"/>
    <row r="252" s="41" customFormat="1" x14ac:dyDescent="0.25"/>
    <row r="253" s="41" customFormat="1" x14ac:dyDescent="0.25"/>
    <row r="254" s="41" customFormat="1" x14ac:dyDescent="0.25"/>
    <row r="255" s="41" customFormat="1" x14ac:dyDescent="0.25"/>
    <row r="256" s="41" customFormat="1" x14ac:dyDescent="0.25"/>
    <row r="257" s="41" customFormat="1" x14ac:dyDescent="0.25"/>
    <row r="258" s="41" customFormat="1" x14ac:dyDescent="0.25"/>
    <row r="259" s="41" customFormat="1" x14ac:dyDescent="0.25"/>
    <row r="260" s="41" customFormat="1" x14ac:dyDescent="0.25"/>
    <row r="261" s="41" customFormat="1" x14ac:dyDescent="0.25"/>
    <row r="262" s="41" customFormat="1" x14ac:dyDescent="0.25"/>
    <row r="263" s="41" customFormat="1" x14ac:dyDescent="0.25"/>
    <row r="264" s="41" customFormat="1" x14ac:dyDescent="0.25"/>
    <row r="265" s="41" customFormat="1" x14ac:dyDescent="0.25"/>
    <row r="266" s="41" customFormat="1" x14ac:dyDescent="0.25"/>
    <row r="267" s="41" customFormat="1" x14ac:dyDescent="0.25"/>
    <row r="268" s="41" customFormat="1" x14ac:dyDescent="0.25"/>
    <row r="269" s="41" customFormat="1" x14ac:dyDescent="0.25"/>
    <row r="270" s="41" customFormat="1" x14ac:dyDescent="0.25"/>
    <row r="271" s="41" customFormat="1" x14ac:dyDescent="0.25"/>
    <row r="272" s="41" customFormat="1" x14ac:dyDescent="0.25"/>
    <row r="273" s="41" customFormat="1" x14ac:dyDescent="0.25"/>
  </sheetData>
  <mergeCells count="15">
    <mergeCell ref="A36:K37"/>
    <mergeCell ref="A39:K40"/>
    <mergeCell ref="A11:B11"/>
    <mergeCell ref="E11:F11"/>
    <mergeCell ref="G11:H11"/>
    <mergeCell ref="F13:G13"/>
    <mergeCell ref="A15:F15"/>
    <mergeCell ref="G15:H15"/>
    <mergeCell ref="A27:K28"/>
    <mergeCell ref="A30:K32"/>
    <mergeCell ref="A9:C9"/>
    <mergeCell ref="A1:K2"/>
    <mergeCell ref="A4:K8"/>
    <mergeCell ref="A19:K20"/>
    <mergeCell ref="A22:K25"/>
  </mergeCells>
  <pageMargins left="0" right="0" top="0.75" bottom="0.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Cumulative Lifetime Exemption </vt:lpstr>
      <vt:lpstr>Tax Estimator</vt:lpstr>
      <vt:lpstr>Net Value</vt:lpstr>
      <vt:lpstr>RMD</vt:lpstr>
      <vt:lpstr>RMD!Print_Area</vt:lpstr>
      <vt:lpstr>'Tax Estimator'!status_list</vt:lpstr>
      <vt:lpstr>'Tax Estimator'!tax_table</vt:lpstr>
      <vt:lpstr>'Tax Estimator'!year_list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Pramod Zacharias</dc:creator>
  <cp:lastModifiedBy>Pramod Zacharias</cp:lastModifiedBy>
  <cp:lastPrinted>2025-12-10T18:40:34Z</cp:lastPrinted>
  <dcterms:created xsi:type="dcterms:W3CDTF">2025-12-09T17:58:25Z</dcterms:created>
  <dcterms:modified xsi:type="dcterms:W3CDTF">2025-12-18T20:13:41Z</dcterms:modified>
</cp:coreProperties>
</file>