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ERVER2019\Employee Data\OneDrive\2026 Forms ( Final)\2016 Website\"/>
    </mc:Choice>
  </mc:AlternateContent>
  <xr:revisionPtr revIDLastSave="0" documentId="13_ncr:1_{6C3B4924-BA58-44F8-87C4-6EEA0CB7FF76}" xr6:coauthVersionLast="47" xr6:coauthVersionMax="47" xr10:uidLastSave="{00000000-0000-0000-0000-000000000000}"/>
  <workbookProtection workbookAlgorithmName="SHA-512" workbookHashValue="GuFGPGvMwQxOsqBlpdouLy2OTQI6wOqtwmsSMiLzf+gi0eTpq6N6mWr9o2TDh2i3JRR+cox0s3IPXLhjM6XNtg==" workbookSaltValue="jtz0MN4zMtTu90yPpNHBKQ==" workbookSpinCount="100000" lockStructure="1"/>
  <bookViews>
    <workbookView xWindow="-120" yWindow="-120" windowWidth="29040" windowHeight="15720" xr2:uid="{134F55E1-6840-4C4D-B83C-47F77C985470}"/>
  </bookViews>
  <sheets>
    <sheet name="Tax Estimator" sheetId="5" r:id="rId1"/>
    <sheet name="Links" sheetId="7" r:id="rId2"/>
  </sheets>
  <externalReferences>
    <externalReference r:id="rId3"/>
  </externalReferences>
  <definedNames>
    <definedName name="__IntlFixup" hidden="1">TRUE</definedName>
    <definedName name="_Order1" hidden="1">0</definedName>
    <definedName name="categories">OFFSET([1]Categories!$A$1,0,0,MATCH(REPT("z",255),[1]Categories!$A$1:$A$65536),1)</definedName>
    <definedName name="Data.Dump" localSheetId="1" hidden="1">OFFSET([0]!Data.Top.Left,1,0)</definedName>
    <definedName name="Data.Dump" hidden="1">OFFSET([0]!Data.Top.Left,1,0)</definedName>
    <definedName name="HTML_CodePage" hidden="1">1252</definedName>
    <definedName name="HTML_Control" localSheetId="1" hidden="1">{"'Leverage'!$B$2:$M$418"}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Macro1" localSheetId="1">Links!Macro1</definedName>
    <definedName name="Macro1">[0]!Macro1</definedName>
    <definedName name="Macro2" localSheetId="1">Links!Macro2</definedName>
    <definedName name="Macro2">[0]!Macro2</definedName>
    <definedName name="Ownership" localSheetId="1" hidden="1">OFFSET([0]!Data.Top.Left,1,0)</definedName>
    <definedName name="Ownership" hidden="1">OFFSET([0]!Data.Top.Left,1,0)</definedName>
    <definedName name="status_list">'Tax Estimator'!$AN$22:$AN$25</definedName>
    <definedName name="tax_table">'Tax Estimator'!$AB$21:$AK$34</definedName>
    <definedName name="valuevx">42.314159</definedName>
    <definedName name="vertex42_copyright" hidden="1">"© 2010-2019 by Vertex42.com"</definedName>
    <definedName name="vertex42_id" hidden="1">"expense-reimbursement-form.xlsx"</definedName>
    <definedName name="vertex42_title" hidden="1">"Expense Reimbursement Form"</definedName>
    <definedName name="year_list">'Tax Estimator'!$AK$12:$AK$13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5" l="1"/>
  <c r="J14" i="5"/>
  <c r="A38" i="5"/>
  <c r="D38" i="5" s="1"/>
  <c r="M26" i="5"/>
  <c r="M25" i="5" s="1"/>
  <c r="J15" i="5" l="1"/>
  <c r="K15" i="5" s="1"/>
  <c r="B17" i="5"/>
  <c r="AB8" i="5" a="1"/>
  <c r="AB8" i="5" s="1"/>
  <c r="AC5" i="5"/>
  <c r="O27" i="5"/>
  <c r="AR28" i="5"/>
  <c r="AQ28" i="5"/>
  <c r="AR27" i="5"/>
  <c r="R28" i="5" l="1"/>
  <c r="K48" i="5" l="1"/>
  <c r="K47" i="5"/>
  <c r="F46" i="5"/>
  <c r="E46" i="5"/>
  <c r="Q17" i="5" s="1"/>
  <c r="H42" i="5"/>
  <c r="D42" i="5"/>
  <c r="D39" i="5"/>
  <c r="C39" i="5"/>
  <c r="B39" i="5"/>
  <c r="B38" i="5"/>
  <c r="C38" i="5" s="1"/>
  <c r="C40" i="5" s="1"/>
  <c r="H35" i="5"/>
  <c r="H34" i="5"/>
  <c r="D33" i="5"/>
  <c r="U19" i="5" s="1"/>
  <c r="H32" i="5"/>
  <c r="H30" i="5"/>
  <c r="H29" i="5"/>
  <c r="H28" i="5"/>
  <c r="H24" i="5"/>
  <c r="G24" i="5"/>
  <c r="F24" i="5"/>
  <c r="K20" i="5"/>
  <c r="D17" i="5"/>
  <c r="F16" i="5"/>
  <c r="F15" i="5"/>
  <c r="F10" i="5"/>
  <c r="U7" i="5"/>
  <c r="F7" i="5"/>
  <c r="U6" i="5"/>
  <c r="H27" i="5" s="1"/>
  <c r="G5" i="5"/>
  <c r="F9" i="5" s="1"/>
  <c r="K4" i="5"/>
  <c r="N4" i="5" s="1"/>
  <c r="K3" i="5"/>
  <c r="N3" i="5" s="1"/>
  <c r="L20" i="5" s="1"/>
  <c r="U2" i="5"/>
  <c r="U10" i="5" s="1"/>
  <c r="D40" i="5" l="1"/>
  <c r="E39" i="5"/>
  <c r="L22" i="5"/>
  <c r="K22" i="5"/>
  <c r="K21" i="5"/>
  <c r="L21" i="5"/>
  <c r="L26" i="5"/>
  <c r="Q8" i="5"/>
  <c r="U8" i="5"/>
  <c r="F12" i="5"/>
  <c r="F8" i="5"/>
  <c r="F11" i="5"/>
  <c r="F14" i="5"/>
  <c r="F13" i="5"/>
  <c r="E40" i="5" l="1"/>
  <c r="F40" i="5" s="1"/>
  <c r="L24" i="5"/>
  <c r="E19" i="5" s="1"/>
  <c r="K24" i="5"/>
  <c r="F17" i="5"/>
  <c r="L33" i="5" l="1"/>
  <c r="E17" i="5"/>
  <c r="I35" i="5" s="1"/>
  <c r="E32" i="5" l="1"/>
  <c r="E31" i="5" s="1"/>
  <c r="F31" i="5" s="1"/>
  <c r="E21" i="5"/>
  <c r="E25" i="5" s="1"/>
  <c r="E42" i="5"/>
  <c r="F42" i="5" s="1"/>
  <c r="L47" i="5"/>
  <c r="E48" i="5" s="1"/>
  <c r="Q19" i="5" s="1"/>
  <c r="R27" i="5"/>
  <c r="E30" i="5"/>
  <c r="E29" i="5" s="1"/>
  <c r="F29" i="5" s="1"/>
  <c r="I34" i="5"/>
  <c r="D37" i="5" s="1"/>
  <c r="E37" i="5" s="1"/>
  <c r="F37" i="5" s="1"/>
  <c r="Q11" i="5"/>
  <c r="U5" i="5"/>
  <c r="U12" i="5" s="1"/>
  <c r="E41" i="5"/>
  <c r="E28" i="5"/>
  <c r="E27" i="5" s="1"/>
  <c r="F27" i="5" s="1"/>
  <c r="E24" i="5" a="1"/>
  <c r="E24" i="5" s="1"/>
  <c r="F44" i="5" l="1"/>
  <c r="F56" i="5" s="1"/>
  <c r="M23" i="5"/>
  <c r="E35" i="5" s="1"/>
  <c r="Q13" i="5" s="1"/>
  <c r="AI7" i="5" s="1" a="1"/>
  <c r="AI7" i="5" s="1"/>
  <c r="AI9" i="5" s="1"/>
  <c r="B56" i="5" s="1"/>
  <c r="G56" i="5" s="1"/>
  <c r="U15" i="5"/>
  <c r="U16" i="5" s="1"/>
  <c r="U17" i="5" s="1"/>
  <c r="U18" i="5" s="1"/>
  <c r="U20" i="5" s="1"/>
  <c r="E33" i="5" s="1"/>
  <c r="F33" i="5" s="1"/>
  <c r="F35" i="5" s="1"/>
  <c r="U9" i="5"/>
  <c r="W10" i="5"/>
  <c r="W11" i="5" s="1"/>
  <c r="W12" i="5" s="1"/>
  <c r="AO8" i="5" a="1"/>
  <c r="AO8" i="5" s="1"/>
  <c r="AE8" i="5" l="1" a="1"/>
  <c r="AE8" i="5" s="1"/>
  <c r="AE16" i="5" s="1"/>
  <c r="AI8" i="5" a="1"/>
  <c r="AI8" i="5" s="1"/>
  <c r="AI10" i="5" s="1"/>
  <c r="AF8" i="5" l="1" a="1"/>
  <c r="AF8" i="5" s="1"/>
  <c r="AF16" i="5" s="1"/>
  <c r="E44" i="5"/>
  <c r="Q15" i="5" s="1"/>
  <c r="R30" i="5" l="1"/>
  <c r="R31" i="5" s="1"/>
  <c r="R49" i="5" s="1"/>
  <c r="E56" i="5"/>
  <c r="D52" i="5"/>
  <c r="Q21" i="5" s="1"/>
  <c r="O21" i="5" s="1"/>
  <c r="E52" i="5" l="1"/>
  <c r="E54" i="5" s="1"/>
  <c r="F52" i="5" l="1"/>
  <c r="F54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<sst xmlns="http://schemas.openxmlformats.org/spreadsheetml/2006/main" count="373" uniqueCount="328">
  <si>
    <t>From</t>
  </si>
  <si>
    <t>To</t>
  </si>
  <si>
    <t>Tax rate</t>
  </si>
  <si>
    <t>Income</t>
  </si>
  <si>
    <t>Taxes</t>
  </si>
  <si>
    <t>Total</t>
  </si>
  <si>
    <t>With MAP</t>
  </si>
  <si>
    <t>and up</t>
  </si>
  <si>
    <t>Tax payer status</t>
  </si>
  <si>
    <t>Year</t>
  </si>
  <si>
    <t>Tax rate table</t>
  </si>
  <si>
    <t>A1</t>
  </si>
  <si>
    <t>Qualified Business Income (QBI)</t>
  </si>
  <si>
    <t>Your Name</t>
  </si>
  <si>
    <t xml:space="preserve"> </t>
  </si>
  <si>
    <t>B1</t>
  </si>
  <si>
    <t>W-2 Wages paid by the business</t>
  </si>
  <si>
    <t>Your Date of Birth</t>
  </si>
  <si>
    <t>C1</t>
  </si>
  <si>
    <t>Unadjusted Basis Immediately After Acquisition (UBIA) of qualified property</t>
  </si>
  <si>
    <t>Spouse Date of Birth</t>
  </si>
  <si>
    <t>MFJ</t>
  </si>
  <si>
    <t>May</t>
  </si>
  <si>
    <t>D1</t>
  </si>
  <si>
    <t>Total Taxable Income (TI)</t>
  </si>
  <si>
    <t>Income Source</t>
  </si>
  <si>
    <t>Amount ( Gross)</t>
  </si>
  <si>
    <t xml:space="preserve">Estimated /Withholding Tax </t>
  </si>
  <si>
    <t>Amount $$$$</t>
  </si>
  <si>
    <t xml:space="preserve">Estimated Full Year Income </t>
  </si>
  <si>
    <t>Summary</t>
  </si>
  <si>
    <t>E1</t>
  </si>
  <si>
    <t>Lower Phase-in Threshold (e.g., $182,100 for Single, $364,200 for Married Filing Jointly for 2023)</t>
  </si>
  <si>
    <t>F1</t>
  </si>
  <si>
    <t>Upper Phase-out Threshold (Lower Threshold + $50,000 for Single, +$100,000 for MFJ for 2023)</t>
  </si>
  <si>
    <t>Total Income</t>
  </si>
  <si>
    <t>G1</t>
  </si>
  <si>
    <t>Phase-in/Phase-out Range (F1 - E1)</t>
  </si>
  <si>
    <t>Interest/Dividends (Taxable)</t>
  </si>
  <si>
    <t>Estimated Tax Payments</t>
  </si>
  <si>
    <t>Taxable Income</t>
  </si>
  <si>
    <t>H1</t>
  </si>
  <si>
    <t>Taxable Income Above Lower Threshold</t>
  </si>
  <si>
    <t>Unemployment/Pension/1099R</t>
  </si>
  <si>
    <t>I1</t>
  </si>
  <si>
    <t>Maximum QBI Deduction (20% of QBI)</t>
  </si>
  <si>
    <t>Net Rental/Other Income</t>
  </si>
  <si>
    <t>Your Pre Tax Items (401K/HSA etc)</t>
  </si>
  <si>
    <t>Adjusted Gross Income</t>
  </si>
  <si>
    <t>Short Term Capital Gain</t>
  </si>
  <si>
    <t>Spouse Pre Tax Items (401K/HSA etc)</t>
  </si>
  <si>
    <t>QBI</t>
  </si>
  <si>
    <t>Long Term Capital Gain</t>
  </si>
  <si>
    <t>HSA (Outside of W2)</t>
  </si>
  <si>
    <t>Marginal Rate</t>
  </si>
  <si>
    <t>Net S Corp Income</t>
  </si>
  <si>
    <t xml:space="preserve">Traditional IRA </t>
  </si>
  <si>
    <t>Your LLC /Self Employed</t>
  </si>
  <si>
    <t>Self-employed health insurance deduction</t>
  </si>
  <si>
    <t>Estimated Tax Due</t>
  </si>
  <si>
    <t>(Excess TI)</t>
  </si>
  <si>
    <t>Spouse LLC /Self Employed</t>
  </si>
  <si>
    <t>Please Select</t>
  </si>
  <si>
    <t>(Phase-in %)</t>
  </si>
  <si>
    <t>Adjusted Gross Income (AGI)</t>
  </si>
  <si>
    <t>Jan</t>
  </si>
  <si>
    <t>Single</t>
  </si>
  <si>
    <t>(AP - Raw)</t>
  </si>
  <si>
    <t>(AP - Final)</t>
  </si>
  <si>
    <t>Extra Standard Deduction is $2,000 (Single) or $1,600 (MFJ/MFS) per person who is 65+ or Blind.</t>
  </si>
  <si>
    <t>Credits</t>
  </si>
  <si>
    <t>$6000 senior deduction (65+) phaseout starts at $75k (Single) / $150k (MFJ).</t>
  </si>
  <si>
    <t>Feb</t>
  </si>
  <si>
    <t>Property Tax</t>
  </si>
  <si>
    <t xml:space="preserve">Mortgage Interest </t>
  </si>
  <si>
    <t>Donations</t>
  </si>
  <si>
    <t xml:space="preserve"> State Tax </t>
  </si>
  <si>
    <t>Apr</t>
  </si>
  <si>
    <t>No Tax on Overtime Deduction</t>
  </si>
  <si>
    <t>No Tax on Tips Deduction</t>
  </si>
  <si>
    <t>The QBI deduction (Single filers: $197,300, MFJ: 394,600,HHH:197,300)</t>
  </si>
  <si>
    <t>Jun</t>
  </si>
  <si>
    <t>Projected Taxable Income after the IRA/HSA/QBI/Bonus Deductions</t>
  </si>
  <si>
    <t>Jul</t>
  </si>
  <si>
    <t>Aug</t>
  </si>
  <si>
    <t>Long Term Capital Gain Tax @ 15% or 20% or  Smaller</t>
  </si>
  <si>
    <t>Sep</t>
  </si>
  <si>
    <t>Oct</t>
  </si>
  <si>
    <t>Nov</t>
  </si>
  <si>
    <t>Dec</t>
  </si>
  <si>
    <t>Net Investment Tax ( AGI above 250K for MFJ, 200K for Single/ HH/MFS)</t>
  </si>
  <si>
    <t>Enter various Income Tax Credits, including College and Solar credits.</t>
  </si>
  <si>
    <t>MFS</t>
  </si>
  <si>
    <t>Average Rate ( Tax Tax/Total Income)</t>
  </si>
  <si>
    <t>HH</t>
  </si>
  <si>
    <t>Estimated Tax Payment Links &amp; Individual Income Tax Rates ( Make sure to select the tax year as 2025)</t>
  </si>
  <si>
    <t>IRS</t>
  </si>
  <si>
    <t>IRS.Gov</t>
  </si>
  <si>
    <t>https://directpay.irs.gov/directpay/payment?execution=e1s1</t>
  </si>
  <si>
    <t>State</t>
  </si>
  <si>
    <t>Official Payment Portal Name</t>
  </si>
  <si>
    <t>Direct Payment Link / Instruction</t>
  </si>
  <si>
    <t>Individual Income Tax Rate Range</t>
  </si>
  <si>
    <t>Alabama</t>
  </si>
  <si>
    <t>My Alabama Taxes (MAT)</t>
  </si>
  <si>
    <t>Online Estimate Payments and Extension Payments</t>
  </si>
  <si>
    <r>
      <t>2.0% to 5.0%</t>
    </r>
    <r>
      <rPr>
        <sz val="11"/>
        <color theme="1"/>
        <rFont val="Calibri"/>
        <family val="2"/>
        <scheme val="minor"/>
      </rPr>
      <t xml:space="preserve"> (Four Brackets)</t>
    </r>
  </si>
  <si>
    <t>Arizona</t>
  </si>
  <si>
    <t>AZTaxes.gov</t>
  </si>
  <si>
    <t>Arizona Direct File/Estimated Tax Payments</t>
  </si>
  <si>
    <r>
      <t>2.50%</t>
    </r>
    <r>
      <rPr>
        <sz val="11"/>
        <color theme="1"/>
        <rFont val="Calibri"/>
        <family val="2"/>
        <scheme val="minor"/>
      </rPr>
      <t xml:space="preserve"> (Flat Tax)</t>
    </r>
  </si>
  <si>
    <t>Arkansas</t>
  </si>
  <si>
    <t>Arkansas Taxpayer Access Point (ATAP)</t>
  </si>
  <si>
    <t>ATAP Portal</t>
  </si>
  <si>
    <r>
      <t>2.0% to 4.4%</t>
    </r>
    <r>
      <rPr>
        <sz val="11"/>
        <color theme="1"/>
        <rFont val="Calibri"/>
        <family val="2"/>
        <scheme val="minor"/>
      </rPr>
      <t xml:space="preserve"> (Six Brackets)</t>
    </r>
  </si>
  <si>
    <t>California</t>
  </si>
  <si>
    <r>
      <t>Web Pay for Individuals</t>
    </r>
    <r>
      <rPr>
        <sz val="11"/>
        <color theme="1"/>
        <rFont val="Calibri"/>
        <family val="2"/>
        <scheme val="minor"/>
      </rPr>
      <t xml:space="preserve"> (FTB)</t>
    </r>
  </si>
  <si>
    <t>Web Pay Login for Individuals</t>
  </si>
  <si>
    <r>
      <t>1.0% to 13.3%</t>
    </r>
    <r>
      <rPr>
        <sz val="11"/>
        <color theme="1"/>
        <rFont val="Calibri"/>
        <family val="2"/>
        <scheme val="minor"/>
      </rPr>
      <t xml:space="preserve"> (Ten Brackets)</t>
    </r>
  </si>
  <si>
    <t>Colorado</t>
  </si>
  <si>
    <t>Revenue Online</t>
  </si>
  <si>
    <t>Colorado Department of Revenue Payment Page</t>
  </si>
  <si>
    <r>
      <t>4.40%</t>
    </r>
    <r>
      <rPr>
        <sz val="11"/>
        <color theme="1"/>
        <rFont val="Calibri"/>
        <family val="2"/>
        <scheme val="minor"/>
      </rPr>
      <t xml:space="preserve"> (Flat Tax)</t>
    </r>
  </si>
  <si>
    <t>Connecticut</t>
  </si>
  <si>
    <t>myconneCT</t>
  </si>
  <si>
    <t>myconneCT Individual Tax Payment Page</t>
  </si>
  <si>
    <r>
      <t>2.0% to 6.99%</t>
    </r>
    <r>
      <rPr>
        <sz val="11"/>
        <color theme="1"/>
        <rFont val="Calibri"/>
        <family val="2"/>
        <scheme val="minor"/>
      </rPr>
      <t xml:space="preserve"> (Seven Brackets)</t>
    </r>
  </si>
  <si>
    <t>Delaware</t>
  </si>
  <si>
    <t>Delaware Taxpayer Portal</t>
  </si>
  <si>
    <t>Delaware Tax Portal</t>
  </si>
  <si>
    <r>
      <t>2.2% to 6.60%</t>
    </r>
    <r>
      <rPr>
        <sz val="11"/>
        <color theme="1"/>
        <rFont val="Calibri"/>
        <family val="2"/>
        <scheme val="minor"/>
      </rPr>
      <t xml:space="preserve"> (Six Brackets)</t>
    </r>
  </si>
  <si>
    <t>D.C.</t>
  </si>
  <si>
    <t>MyTax.DC.gov</t>
  </si>
  <si>
    <t>[Payment Options</t>
  </si>
  <si>
    <t>DC Office of Tax and Revenue](https://otr.cfo.dc.gov/page/payment-options)</t>
  </si>
  <si>
    <t>Georgia</t>
  </si>
  <si>
    <t>Georgia Tax Center (GTC)</t>
  </si>
  <si>
    <t>Make a Quick Payment</t>
  </si>
  <si>
    <r>
      <t>1.0% to 5.49%</t>
    </r>
    <r>
      <rPr>
        <sz val="11"/>
        <color theme="1"/>
        <rFont val="Calibri"/>
        <family val="2"/>
        <scheme val="minor"/>
      </rPr>
      <t xml:space="preserve"> (Four Brackets - transitioning to a flat rate)</t>
    </r>
  </si>
  <si>
    <t>Hawaii</t>
  </si>
  <si>
    <t>Hawaiʻi Tax Online (HTO)</t>
  </si>
  <si>
    <t>Hawaiʻi Tax Online (HTO) Services</t>
  </si>
  <si>
    <r>
      <t>1.4% to 11.0%</t>
    </r>
    <r>
      <rPr>
        <sz val="11"/>
        <color theme="1"/>
        <rFont val="Calibri"/>
        <family val="2"/>
        <scheme val="minor"/>
      </rPr>
      <t xml:space="preserve"> (Twelve Brackets)</t>
    </r>
  </si>
  <si>
    <t>Idaho</t>
  </si>
  <si>
    <t>Taxpayer Access Point (TAP)</t>
  </si>
  <si>
    <t>Idaho State Tax Commission E-Pay</t>
  </si>
  <si>
    <r>
      <t>5.8%</t>
    </r>
    <r>
      <rPr>
        <sz val="11"/>
        <color theme="1"/>
        <rFont val="Calibri"/>
        <family val="2"/>
        <scheme val="minor"/>
      </rPr>
      <t xml:space="preserve"> (Flat Tax)</t>
    </r>
  </si>
  <si>
    <t>Illinois</t>
  </si>
  <si>
    <t>MyTax Illinois</t>
  </si>
  <si>
    <t>Pay online at MyTax Illinois</t>
  </si>
  <si>
    <r>
      <t>4.95%</t>
    </r>
    <r>
      <rPr>
        <sz val="11"/>
        <color theme="1"/>
        <rFont val="Calibri"/>
        <family val="2"/>
        <scheme val="minor"/>
      </rPr>
      <t xml:space="preserve"> (Flat Tax)</t>
    </r>
  </si>
  <si>
    <t>Indiana</t>
  </si>
  <si>
    <t>INTIME</t>
  </si>
  <si>
    <t>Payments &amp; Billing - DOR</t>
  </si>
  <si>
    <r>
      <t>3.15%</t>
    </r>
    <r>
      <rPr>
        <sz val="11"/>
        <color theme="1"/>
        <rFont val="Calibri"/>
        <family val="2"/>
        <scheme val="minor"/>
      </rPr>
      <t xml:space="preserve"> (Flat Tax)</t>
    </r>
  </si>
  <si>
    <t>Iowa</t>
  </si>
  <si>
    <t>GovConnectIowa</t>
  </si>
  <si>
    <t>Iowa Department of Revenue Payment Options</t>
  </si>
  <si>
    <r>
      <t>4.40% to 6.00%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</si>
  <si>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Kansas</t>
  </si>
  <si>
    <t>KDOR Payment Portal</t>
  </si>
  <si>
    <t>Kansas Department of Revenue Payment Portal</t>
  </si>
  <si>
    <r>
      <t>3.10% to 5.7%</t>
    </r>
    <r>
      <rPr>
        <sz val="11"/>
        <color theme="1"/>
        <rFont val="Calibri"/>
        <family val="2"/>
        <scheme val="minor"/>
      </rPr>
      <t xml:space="preserve"> (Three Brackets)</t>
    </r>
  </si>
  <si>
    <t>Kentucky</t>
  </si>
  <si>
    <t>Electronic Payment Application</t>
  </si>
  <si>
    <t>Kentucky Department of Revenue ePayment</t>
  </si>
  <si>
    <r>
      <t>4.50%</t>
    </r>
    <r>
      <rPr>
        <sz val="11"/>
        <color theme="1"/>
        <rFont val="Calibri"/>
        <family val="2"/>
        <scheme val="minor"/>
      </rPr>
      <t xml:space="preserve"> (Flat Tax)</t>
    </r>
  </si>
  <si>
    <t>Maine</t>
  </si>
  <si>
    <t>Maine Tax Portal</t>
  </si>
  <si>
    <t>Maine Tax Portal Home</t>
  </si>
  <si>
    <r>
      <t>5.8% to 7.15%</t>
    </r>
    <r>
      <rPr>
        <sz val="11"/>
        <color theme="1"/>
        <rFont val="Calibri"/>
        <family val="2"/>
        <scheme val="minor"/>
      </rPr>
      <t xml:space="preserve"> (Three Brackets)</t>
    </r>
  </si>
  <si>
    <t>Maryland</t>
  </si>
  <si>
    <t>Individual Online Service Center</t>
  </si>
  <si>
    <t>Make a personal estimated payment - Form PV</t>
  </si>
  <si>
    <r>
      <t>2.0% to 5.75%</t>
    </r>
    <r>
      <rPr>
        <sz val="11"/>
        <color theme="1"/>
        <rFont val="Calibri"/>
        <family val="2"/>
        <scheme val="minor"/>
      </rPr>
      <t xml:space="preserve"> (Eight Brackets)</t>
    </r>
  </si>
  <si>
    <t>Massachusetts</t>
  </si>
  <si>
    <t>MassTaxConnect</t>
  </si>
  <si>
    <t>DOR Estimated Tax Payments</t>
  </si>
  <si>
    <r>
      <t>5.0%</t>
    </r>
    <r>
      <rPr>
        <sz val="11"/>
        <color theme="1"/>
        <rFont val="Calibri"/>
        <family val="2"/>
        <scheme val="minor"/>
      </rPr>
      <t xml:space="preserve"> (Flat Tax on most income)</t>
    </r>
  </si>
  <si>
    <t>Michigan</t>
  </si>
  <si>
    <t>MiTreasury eServices - Citizen Portal</t>
  </si>
  <si>
    <t>eServices - Individual Income Tax</t>
  </si>
  <si>
    <r>
      <t>4.25%</t>
    </r>
    <r>
      <rPr>
        <sz val="11"/>
        <color theme="1"/>
        <rFont val="Calibri"/>
        <family val="2"/>
        <scheme val="minor"/>
      </rPr>
      <t xml:space="preserve"> (Flat Tax)</t>
    </r>
  </si>
  <si>
    <t>Minnesota</t>
  </si>
  <si>
    <t>e-Services</t>
  </si>
  <si>
    <t>MN Department of Revenue Make a Payment</t>
  </si>
  <si>
    <r>
      <t>5.35% to 7.85%</t>
    </r>
    <r>
      <rPr>
        <sz val="11"/>
        <color theme="1"/>
        <rFont val="Calibri"/>
        <family val="2"/>
        <scheme val="minor"/>
      </rPr>
      <t xml:space="preserve"> (Four Brackets)</t>
    </r>
  </si>
  <si>
    <t>Mississippi</t>
  </si>
  <si>
    <t>Mississippi Taxpayer Access Point (TAP)</t>
  </si>
  <si>
    <r>
      <t>5.0%</t>
    </r>
    <r>
      <rPr>
        <sz val="11"/>
        <color theme="1"/>
        <rFont val="Calibri"/>
        <family val="2"/>
        <scheme val="minor"/>
      </rPr>
      <t xml:space="preserve"> (Flat Tax - starting 2024, after phase-in)</t>
    </r>
  </si>
  <si>
    <t>Missouri</t>
  </si>
  <si>
    <t>MyTax Missouri</t>
  </si>
  <si>
    <t>Make a Personal Income Tax Estimated Payment (MO-1040ES)</t>
  </si>
  <si>
    <r>
      <t>0% to 4.8%</t>
    </r>
    <r>
      <rPr>
        <sz val="11"/>
        <color theme="1"/>
        <rFont val="Calibri"/>
        <family val="2"/>
        <scheme val="minor"/>
      </rPr>
      <t xml:space="preserve"> (Five Brackets)</t>
    </r>
  </si>
  <si>
    <t>Montana</t>
  </si>
  <si>
    <t>TransAction Portal (TAP)</t>
  </si>
  <si>
    <t>Making Estimated Tax Payments</t>
  </si>
  <si>
    <r>
      <t>4.7% to 5.9%</t>
    </r>
    <r>
      <rPr>
        <sz val="11"/>
        <color theme="1"/>
        <rFont val="Calibri"/>
        <family val="2"/>
        <scheme val="minor"/>
      </rPr>
      <t xml:space="preserve"> (Two Brackets)</t>
    </r>
  </si>
  <si>
    <t>Nebraska</t>
  </si>
  <si>
    <t>Nebraska e-pay</t>
  </si>
  <si>
    <t>Individual Estimated Income Tax e-pay</t>
  </si>
  <si>
    <r>
      <t>2.46% to 5.84%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</si>
  <si>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New Hampshire</t>
  </si>
  <si>
    <t>Granite Tax Connect (GTC)</t>
  </si>
  <si>
    <t>GTC Portal</t>
  </si>
  <si>
    <r>
      <t>3.0%</t>
    </r>
    <r>
      <rPr>
        <sz val="11"/>
        <color theme="1"/>
        <rFont val="Calibri"/>
        <family val="2"/>
        <scheme val="minor"/>
      </rPr>
      <t xml:space="preserve"> (Tax on Interest &amp; Dividends only)</t>
    </r>
  </si>
  <si>
    <t>New Jersey</t>
  </si>
  <si>
    <t>NJ Division of Taxation</t>
  </si>
  <si>
    <t>NJ Income Tax Estimated Payments Page</t>
  </si>
  <si>
    <r>
      <t>1.4% to 10.75%</t>
    </r>
    <r>
      <rPr>
        <sz val="11"/>
        <color theme="1"/>
        <rFont val="Calibri"/>
        <family val="2"/>
        <scheme val="minor"/>
      </rPr>
      <t xml:space="preserve"> (Seven Brackets)</t>
    </r>
  </si>
  <si>
    <t>New Mexico</t>
  </si>
  <si>
    <t>Make a Payment on TAP</t>
  </si>
  <si>
    <r>
      <t>1.7% to 5.9%</t>
    </r>
    <r>
      <rPr>
        <sz val="11"/>
        <color theme="1"/>
        <rFont val="Calibri"/>
        <family val="2"/>
        <scheme val="minor"/>
      </rPr>
      <t xml:space="preserve"> (Four Brackets)</t>
    </r>
  </si>
  <si>
    <t>New York</t>
  </si>
  <si>
    <t>Individual Online Services</t>
  </si>
  <si>
    <t>Make an estimated income tax payment</t>
  </si>
  <si>
    <r>
      <t>4.0% to 10.9%</t>
    </r>
    <r>
      <rPr>
        <sz val="11"/>
        <color theme="1"/>
        <rFont val="Calibri"/>
        <family val="2"/>
        <scheme val="minor"/>
      </rPr>
      <t xml:space="preserve"> (Eight Brackets)</t>
    </r>
  </si>
  <si>
    <t>North Carolina</t>
  </si>
  <si>
    <t>NCDOR Payment Application</t>
  </si>
  <si>
    <t>Pay Estimated Individual Income Tax</t>
  </si>
  <si>
    <t>North Dakota</t>
  </si>
  <si>
    <t>Make A Payment on ND Tax.gov</t>
  </si>
  <si>
    <r>
      <t>1.10% to 2.90%</t>
    </r>
    <r>
      <rPr>
        <sz val="11"/>
        <color theme="1"/>
        <rFont val="Calibri"/>
        <family val="2"/>
        <scheme val="minor"/>
      </rPr>
      <t xml:space="preserve"> (Four Brackets)</t>
    </r>
  </si>
  <si>
    <t>Ohio</t>
  </si>
  <si>
    <t>**OH</t>
  </si>
  <si>
    <t>TAX eServices**</t>
  </si>
  <si>
    <t>Pay Individual and School District Income Taxes</t>
  </si>
  <si>
    <t>Oklahoma</t>
  </si>
  <si>
    <t>OkTAP</t>
  </si>
  <si>
    <t>OkTAP Payment Portal</t>
  </si>
  <si>
    <r>
      <t>0.25% to 4.75%</t>
    </r>
    <r>
      <rPr>
        <sz val="11"/>
        <color theme="1"/>
        <rFont val="Calibri"/>
        <family val="2"/>
        <scheme val="minor"/>
      </rPr>
      <t xml:space="preserve"> (Four Brackets)</t>
    </r>
  </si>
  <si>
    <t>Oregon</t>
  </si>
  <si>
    <t>Revenue Online Payment Page</t>
  </si>
  <si>
    <r>
      <t>4.75% to 9.9%</t>
    </r>
    <r>
      <rPr>
        <sz val="11"/>
        <color theme="1"/>
        <rFont val="Calibri"/>
        <family val="2"/>
        <scheme val="minor"/>
      </rPr>
      <t xml:space="preserve"> (Four Brackets)</t>
    </r>
  </si>
  <si>
    <t>Pennsylvania</t>
  </si>
  <si>
    <t>myPATH</t>
  </si>
  <si>
    <t>Make a Personal Income Tax Payment on myPATH</t>
  </si>
  <si>
    <r>
      <t>3.07%</t>
    </r>
    <r>
      <rPr>
        <sz val="11"/>
        <color theme="1"/>
        <rFont val="Calibri"/>
        <family val="2"/>
        <scheme val="minor"/>
      </rPr>
      <t xml:space="preserve"> (Flat Tax)</t>
    </r>
  </si>
  <si>
    <t>Rhode Island</t>
  </si>
  <si>
    <t>RI Tax Portal</t>
  </si>
  <si>
    <t>Rhode Island Tax Portal</t>
  </si>
  <si>
    <r>
      <t>3.75% to 5.99%</t>
    </r>
    <r>
      <rPr>
        <sz val="11"/>
        <color theme="1"/>
        <rFont val="Calibri"/>
        <family val="2"/>
        <scheme val="minor"/>
      </rPr>
      <t xml:space="preserve"> (Three Brackets)</t>
    </r>
  </si>
  <si>
    <t>South Carolina</t>
  </si>
  <si>
    <t>MyDORWAY</t>
  </si>
  <si>
    <t>Pay on MyDORWAY</t>
  </si>
  <si>
    <r>
      <t>0% to 6.4%</t>
    </r>
    <r>
      <rPr>
        <sz val="11"/>
        <color theme="1"/>
        <rFont val="Calibri"/>
        <family val="2"/>
        <scheme val="minor"/>
      </rPr>
      <t xml:space="preserve"> (Six Brackets)</t>
    </r>
  </si>
  <si>
    <t>Utah</t>
  </si>
  <si>
    <t>Pay at tap.utah.gov</t>
  </si>
  <si>
    <r>
      <t>4.65%</t>
    </r>
    <r>
      <rPr>
        <sz val="11"/>
        <color theme="1"/>
        <rFont val="Calibri"/>
        <family val="2"/>
        <scheme val="minor"/>
      </rPr>
      <t xml:space="preserve"> (Flat Tax)</t>
    </r>
  </si>
  <si>
    <t>Vermont</t>
  </si>
  <si>
    <t>myVTax</t>
  </si>
  <si>
    <t>Pay Estimated Income Tax via myVTax</t>
  </si>
  <si>
    <r>
      <t>3.35% to 8.75%</t>
    </r>
    <r>
      <rPr>
        <sz val="11"/>
        <color theme="1"/>
        <rFont val="Calibri"/>
        <family val="2"/>
        <scheme val="minor"/>
      </rPr>
      <t xml:space="preserve"> (Five Brackets)</t>
    </r>
  </si>
  <si>
    <t>Virginia</t>
  </si>
  <si>
    <t>Virginia Tax Online Services</t>
  </si>
  <si>
    <t>Individual Estimated Tax Payments</t>
  </si>
  <si>
    <r>
      <t>2.0% to 5.75%</t>
    </r>
    <r>
      <rPr>
        <sz val="11"/>
        <color theme="1"/>
        <rFont val="Calibri"/>
        <family val="2"/>
        <scheme val="minor"/>
      </rPr>
      <t xml:space="preserve"> (Four Brackets)</t>
    </r>
  </si>
  <si>
    <t>West Virginia</t>
  </si>
  <si>
    <t>MyTaxes Website</t>
  </si>
  <si>
    <t>Pay Personal Income Tax</t>
  </si>
  <si>
    <r>
      <t>2.36% to 5.12%</t>
    </r>
    <r>
      <rPr>
        <sz val="11"/>
        <color theme="1"/>
        <rFont val="Calibri"/>
        <family val="2"/>
        <scheme val="minor"/>
      </rPr>
      <t xml:space="preserve"> (Five Brackets)</t>
    </r>
  </si>
  <si>
    <t>Wisconsin</t>
  </si>
  <si>
    <t>Quick Pay or My Tax Account</t>
  </si>
  <si>
    <t>WI Department of Revenue Online Payment System</t>
  </si>
  <si>
    <r>
      <t>3.5% to 7.65%</t>
    </r>
    <r>
      <rPr>
        <sz val="11"/>
        <color theme="1"/>
        <rFont val="Calibri"/>
        <family val="2"/>
        <scheme val="minor"/>
      </rPr>
      <t xml:space="preserve"> (Four Brackets)</t>
    </r>
  </si>
  <si>
    <t>No Income Tax</t>
  </si>
  <si>
    <t>Alaska</t>
  </si>
  <si>
    <t>(No Individual Income Tax)</t>
  </si>
  <si>
    <t>Florida</t>
  </si>
  <si>
    <t>Nevada</t>
  </si>
  <si>
    <t>South Dakota</t>
  </si>
  <si>
    <t>Tennessee</t>
  </si>
  <si>
    <t>(Limited Tax Phased Out)</t>
  </si>
  <si>
    <t>Texas</t>
  </si>
  <si>
    <t>Washington</t>
  </si>
  <si>
    <t>Wyoming</t>
  </si>
  <si>
    <t>This table should complete your comprehensive estimated tax payment resource! Let me know if you need any of this data formatted differently.</t>
  </si>
  <si>
    <t>No of Dependents aged 17 or above</t>
  </si>
  <si>
    <t xml:space="preserve">Spouse W-2 Wages </t>
  </si>
  <si>
    <t>Your W-2 Wages (Column 1)</t>
  </si>
  <si>
    <t xml:space="preserve">Tax Estimator </t>
  </si>
  <si>
    <t>Please select the tax year</t>
  </si>
  <si>
    <t>No of Dependents Less than 17 Years</t>
  </si>
  <si>
    <t>New Car Loan Interest Deduction (2025 loan, U.S.-assembled vehicles)</t>
  </si>
  <si>
    <t>Income Tax Withholding and Estimated Tax Payments (Total)</t>
  </si>
  <si>
    <t>Child Tax Credit ($2,200 per child under 17 and $500 for other dependents)</t>
  </si>
  <si>
    <t>Net Tax Due (IRS) or Refund (A negative result means a refund.)</t>
  </si>
  <si>
    <t>Add 5% for safety since the calculation is approximately 95% accurate.</t>
  </si>
  <si>
    <t xml:space="preserve">Projected Total Tax </t>
  </si>
  <si>
    <t>Please select the filing status</t>
  </si>
  <si>
    <t>Please select your filing status</t>
  </si>
  <si>
    <t>Federal Tax withholding from 1099</t>
  </si>
  <si>
    <t>Total Tax Withheld</t>
  </si>
  <si>
    <t>Gross Mortgage Yearly</t>
  </si>
  <si>
    <t>Property Tax, Insurance</t>
  </si>
  <si>
    <t>Kids College/School Exp</t>
  </si>
  <si>
    <t>Parents Expense</t>
  </si>
  <si>
    <t>Vacation Expense</t>
  </si>
  <si>
    <t>Social Security and Medicare Tax</t>
  </si>
  <si>
    <t>State Income Tax</t>
  </si>
  <si>
    <t xml:space="preserve">Medical Expense </t>
  </si>
  <si>
    <t xml:space="preserve">Car Payments </t>
  </si>
  <si>
    <t>Please list your personal expenses below ( Yearly)</t>
  </si>
  <si>
    <t>Unallowed Business Loss ( Passive)</t>
  </si>
  <si>
    <t>Federal Income Tax</t>
  </si>
  <si>
    <t>Tax Planning Worksheet</t>
  </si>
  <si>
    <t>Your W2 Fed Tax withholding (Col 2)</t>
  </si>
  <si>
    <t>Spouse W2 Fed Tax withholding (Col 2)</t>
  </si>
  <si>
    <t>Other Deductions</t>
  </si>
  <si>
    <t>Net Income After all the Deductions</t>
  </si>
  <si>
    <t>Health Insurance</t>
  </si>
  <si>
    <t>Net Income Available for Planning</t>
  </si>
  <si>
    <t>AQ</t>
  </si>
  <si>
    <t>Income Tax Bracket Calculation</t>
  </si>
  <si>
    <t>Filing as</t>
  </si>
  <si>
    <t>Effective Rate</t>
  </si>
  <si>
    <t xml:space="preserve">Taxable Income </t>
  </si>
  <si>
    <t>Tax Rate</t>
  </si>
  <si>
    <t>Single Taxpayer</t>
  </si>
  <si>
    <t>Married Filing Jointly</t>
  </si>
  <si>
    <t>Married Filing Separately</t>
  </si>
  <si>
    <t>Head of Household</t>
  </si>
  <si>
    <t xml:space="preserve">   Standard Deduction</t>
  </si>
  <si>
    <t>S S Portion (12.4%) and 2.9% Medicare</t>
  </si>
  <si>
    <t>Additional Medicare Tax</t>
  </si>
  <si>
    <t>Filing Status</t>
  </si>
  <si>
    <t>Income Threshold</t>
  </si>
  <si>
    <t>Qualifying Widow(er)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</si>
</sst>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0.0%"/>
    <numFmt numFmtId="167" formatCode="&quot;$&quot;#,##0.00"/>
    <numFmt numFmtId="168" formatCode="&quot;$&quot;#,##0.0_);[Red]\(&quot;$&quot;#,##0.0\)"/>
    <numFmt numFmtId="169" formatCode="&quot;$&quot;#,##0.00;[Red]&quot;$&quot;#,##0.00"/>
    <numFmt numFmtId="170" formatCode="&quot;$&quot;#,##0.0"/>
    <numFmt numFmtId="171" formatCode="&quot;$&quot;#,##0.0000_);[Red]\(&quot;$&quot;#,##0.0000\)"/>
    <numFmt numFmtId="172" formatCode="&quot;$&quot;#,##0.000_);[Red]\(&quot;$&quot;#,##0.000\)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7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1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u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5" fillId="3" borderId="2" applyNumberFormat="0" applyAlignment="0" applyProtection="0"/>
  </cellStyleXfs>
  <cellXfs count="207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9" fontId="0" fillId="0" borderId="1" xfId="0" applyNumberFormat="1" applyBorder="1"/>
    <xf numFmtId="164" fontId="0" fillId="0" borderId="1" xfId="0" applyNumberFormat="1" applyBorder="1" applyAlignment="1">
      <alignment horizontal="right"/>
    </xf>
    <xf numFmtId="164" fontId="0" fillId="0" borderId="0" xfId="0" applyNumberFormat="1"/>
    <xf numFmtId="165" fontId="0" fillId="0" borderId="1" xfId="1" applyNumberFormat="1" applyFont="1" applyBorder="1"/>
    <xf numFmtId="0" fontId="3" fillId="0" borderId="0" xfId="2"/>
    <xf numFmtId="0" fontId="3" fillId="0" borderId="0" xfId="2" applyFill="1" applyBorder="1"/>
    <xf numFmtId="0" fontId="0" fillId="0" borderId="1" xfId="0" applyBorder="1"/>
    <xf numFmtId="0" fontId="0" fillId="2" borderId="1" xfId="0" applyFill="1" applyBorder="1" applyAlignment="1">
      <alignment horizontal="centerContinuous"/>
    </xf>
    <xf numFmtId="0" fontId="4" fillId="0" borderId="0" xfId="0" applyFont="1"/>
    <xf numFmtId="0" fontId="0" fillId="5" borderId="0" xfId="0" applyFill="1"/>
    <xf numFmtId="6" fontId="0" fillId="5" borderId="0" xfId="0" applyNumberFormat="1" applyFill="1"/>
    <xf numFmtId="14" fontId="0" fillId="5" borderId="0" xfId="0" applyNumberFormat="1" applyFill="1"/>
    <xf numFmtId="0" fontId="7" fillId="5" borderId="0" xfId="0" applyFont="1" applyFill="1"/>
    <xf numFmtId="3" fontId="10" fillId="6" borderId="2" xfId="3" applyNumberFormat="1" applyFont="1" applyFill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8" fontId="0" fillId="5" borderId="0" xfId="0" applyNumberFormat="1" applyFill="1"/>
    <xf numFmtId="0" fontId="9" fillId="0" borderId="9" xfId="0" applyFont="1" applyBorder="1" applyAlignment="1">
      <alignment horizontal="left" vertical="center" wrapText="1" indent="1"/>
    </xf>
    <xf numFmtId="6" fontId="9" fillId="0" borderId="9" xfId="0" applyNumberFormat="1" applyFont="1" applyBorder="1" applyAlignment="1">
      <alignment horizontal="left" vertical="center" wrapText="1" indent="1"/>
    </xf>
    <xf numFmtId="0" fontId="1" fillId="5" borderId="0" xfId="0" applyFont="1" applyFill="1"/>
    <xf numFmtId="0" fontId="13" fillId="5" borderId="0" xfId="0" applyFont="1" applyFill="1"/>
    <xf numFmtId="0" fontId="13" fillId="5" borderId="0" xfId="0" applyFont="1" applyFill="1" applyAlignment="1">
      <alignment horizontal="center"/>
    </xf>
    <xf numFmtId="168" fontId="0" fillId="5" borderId="0" xfId="0" applyNumberFormat="1" applyFill="1"/>
    <xf numFmtId="8" fontId="13" fillId="5" borderId="0" xfId="0" applyNumberFormat="1" applyFont="1" applyFill="1"/>
    <xf numFmtId="0" fontId="1" fillId="5" borderId="0" xfId="0" applyFont="1" applyFill="1" applyAlignment="1">
      <alignment horizontal="center"/>
    </xf>
    <xf numFmtId="10" fontId="1" fillId="5" borderId="0" xfId="0" applyNumberFormat="1" applyFont="1" applyFill="1"/>
    <xf numFmtId="8" fontId="1" fillId="5" borderId="0" xfId="0" applyNumberFormat="1" applyFont="1" applyFill="1"/>
    <xf numFmtId="6" fontId="9" fillId="4" borderId="15" xfId="0" applyNumberFormat="1" applyFont="1" applyFill="1" applyBorder="1" applyAlignment="1">
      <alignment horizontal="left" vertical="center" wrapText="1" indent="1"/>
    </xf>
    <xf numFmtId="6" fontId="9" fillId="4" borderId="0" xfId="0" applyNumberFormat="1" applyFont="1" applyFill="1" applyAlignment="1">
      <alignment horizontal="left" vertical="center" wrapText="1" indent="1"/>
    </xf>
    <xf numFmtId="0" fontId="13" fillId="5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 wrapText="1" indent="1"/>
    </xf>
    <xf numFmtId="0" fontId="9" fillId="0" borderId="16" xfId="0" applyFont="1" applyBorder="1" applyAlignment="1">
      <alignment horizontal="left" vertical="center" wrapText="1" indent="1"/>
    </xf>
    <xf numFmtId="0" fontId="9" fillId="5" borderId="10" xfId="0" applyFont="1" applyFill="1" applyBorder="1" applyAlignment="1">
      <alignment horizontal="left" vertical="center" wrapText="1" indent="1"/>
    </xf>
    <xf numFmtId="6" fontId="14" fillId="5" borderId="10" xfId="0" applyNumberFormat="1" applyFont="1" applyFill="1" applyBorder="1" applyAlignment="1">
      <alignment horizontal="left" vertical="center" wrapText="1" indent="1"/>
    </xf>
    <xf numFmtId="6" fontId="14" fillId="4" borderId="9" xfId="0" applyNumberFormat="1" applyFont="1" applyFill="1" applyBorder="1" applyAlignment="1">
      <alignment horizontal="left" vertical="center" wrapText="1" indent="1"/>
    </xf>
    <xf numFmtId="6" fontId="14" fillId="5" borderId="9" xfId="0" applyNumberFormat="1" applyFont="1" applyFill="1" applyBorder="1" applyAlignment="1">
      <alignment horizontal="left" vertical="center" wrapText="1" indent="1"/>
    </xf>
    <xf numFmtId="6" fontId="14" fillId="4" borderId="0" xfId="0" applyNumberFormat="1" applyFont="1" applyFill="1" applyAlignment="1">
      <alignment horizontal="left" vertical="center" wrapText="1" indent="1"/>
    </xf>
    <xf numFmtId="6" fontId="14" fillId="5" borderId="0" xfId="0" applyNumberFormat="1" applyFont="1" applyFill="1" applyAlignment="1">
      <alignment horizontal="left" vertical="center" wrapText="1" indent="1"/>
    </xf>
    <xf numFmtId="6" fontId="9" fillId="0" borderId="0" xfId="0" applyNumberFormat="1" applyFont="1" applyAlignment="1">
      <alignment horizontal="left" vertical="center" wrapText="1" indent="1"/>
    </xf>
    <xf numFmtId="6" fontId="9" fillId="7" borderId="9" xfId="0" applyNumberFormat="1" applyFont="1" applyFill="1" applyBorder="1" applyAlignment="1">
      <alignment horizontal="left" vertical="center" wrapText="1" indent="1"/>
    </xf>
    <xf numFmtId="6" fontId="15" fillId="0" borderId="0" xfId="0" applyNumberFormat="1" applyFont="1" applyAlignment="1">
      <alignment horizontal="left" vertical="center" wrapText="1" indent="1"/>
    </xf>
    <xf numFmtId="0" fontId="0" fillId="4" borderId="0" xfId="0" applyFill="1"/>
    <xf numFmtId="8" fontId="7" fillId="0" borderId="13" xfId="0" applyNumberFormat="1" applyFont="1" applyBorder="1" applyAlignment="1">
      <alignment horizontal="left" vertical="center" wrapText="1" indent="1"/>
    </xf>
    <xf numFmtId="6" fontId="9" fillId="8" borderId="9" xfId="0" applyNumberFormat="1" applyFont="1" applyFill="1" applyBorder="1" applyAlignment="1">
      <alignment horizontal="left" vertical="center" wrapText="1" indent="1"/>
    </xf>
    <xf numFmtId="8" fontId="7" fillId="0" borderId="14" xfId="0" applyNumberFormat="1" applyFont="1" applyBorder="1" applyAlignment="1">
      <alignment horizontal="left" vertical="center" wrapText="1" indent="1"/>
    </xf>
    <xf numFmtId="170" fontId="7" fillId="0" borderId="13" xfId="0" applyNumberFormat="1" applyFont="1" applyBorder="1" applyAlignment="1">
      <alignment horizontal="left" vertical="center" wrapText="1" indent="1"/>
    </xf>
    <xf numFmtId="6" fontId="9" fillId="5" borderId="9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center" wrapText="1" indent="1"/>
    </xf>
    <xf numFmtId="171" fontId="7" fillId="0" borderId="0" xfId="0" applyNumberFormat="1" applyFont="1" applyAlignment="1">
      <alignment horizontal="left" vertical="center" wrapText="1" indent="1"/>
    </xf>
    <xf numFmtId="6" fontId="15" fillId="5" borderId="0" xfId="0" applyNumberFormat="1" applyFont="1" applyFill="1" applyAlignment="1">
      <alignment horizontal="left" vertical="center" wrapText="1" indent="1"/>
    </xf>
    <xf numFmtId="6" fontId="9" fillId="5" borderId="0" xfId="0" applyNumberFormat="1" applyFont="1" applyFill="1" applyAlignment="1">
      <alignment horizontal="left" vertical="center" wrapText="1" indent="1"/>
    </xf>
    <xf numFmtId="172" fontId="7" fillId="0" borderId="10" xfId="0" applyNumberFormat="1" applyFont="1" applyBorder="1" applyAlignment="1">
      <alignment horizontal="left" vertical="center" wrapText="1" indent="1"/>
    </xf>
    <xf numFmtId="167" fontId="7" fillId="0" borderId="10" xfId="0" applyNumberFormat="1" applyFont="1" applyBorder="1" applyAlignment="1">
      <alignment horizontal="left" vertical="center" wrapText="1" indent="1"/>
    </xf>
    <xf numFmtId="167" fontId="7" fillId="5" borderId="13" xfId="0" applyNumberFormat="1" applyFont="1" applyFill="1" applyBorder="1" applyAlignment="1" applyProtection="1">
      <alignment horizontal="left" vertical="center" wrapText="1" indent="1"/>
      <protection locked="0"/>
    </xf>
    <xf numFmtId="0" fontId="15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right" vertical="center" wrapText="1" indent="1"/>
    </xf>
    <xf numFmtId="167" fontId="7" fillId="0" borderId="14" xfId="0" applyNumberFormat="1" applyFont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0" fillId="5" borderId="0" xfId="0" applyFill="1" applyAlignment="1">
      <alignment horizontal="right" vertical="center"/>
    </xf>
    <xf numFmtId="6" fontId="12" fillId="4" borderId="9" xfId="0" applyNumberFormat="1" applyFont="1" applyFill="1" applyBorder="1" applyAlignment="1">
      <alignment horizontal="left" vertical="center" wrapText="1" indent="1"/>
    </xf>
    <xf numFmtId="0" fontId="0" fillId="0" borderId="0" xfId="0" applyAlignment="1">
      <alignment horizontal="right" vertical="center"/>
    </xf>
    <xf numFmtId="6" fontId="9" fillId="9" borderId="9" xfId="0" applyNumberFormat="1" applyFont="1" applyFill="1" applyBorder="1" applyAlignment="1" applyProtection="1">
      <alignment horizontal="left" vertical="center" wrapText="1" indent="1"/>
      <protection locked="0"/>
    </xf>
    <xf numFmtId="6" fontId="9" fillId="4" borderId="20" xfId="0" applyNumberFormat="1" applyFont="1" applyFill="1" applyBorder="1" applyAlignment="1">
      <alignment horizontal="left" vertical="center" wrapText="1" indent="1"/>
    </xf>
    <xf numFmtId="6" fontId="17" fillId="8" borderId="20" xfId="0" applyNumberFormat="1" applyFont="1" applyFill="1" applyBorder="1" applyAlignment="1">
      <alignment horizontal="left" vertical="center" wrapText="1" indent="1"/>
    </xf>
    <xf numFmtId="165" fontId="1" fillId="4" borderId="9" xfId="0" applyNumberFormat="1" applyFont="1" applyFill="1" applyBorder="1" applyAlignment="1">
      <alignment horizontal="center"/>
    </xf>
    <xf numFmtId="165" fontId="7" fillId="5" borderId="0" xfId="0" applyNumberFormat="1" applyFont="1" applyFill="1"/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3" fillId="4" borderId="0" xfId="2" applyFill="1" applyAlignment="1">
      <alignment horizontal="center"/>
    </xf>
    <xf numFmtId="8" fontId="0" fillId="4" borderId="0" xfId="0" applyNumberFormat="1" applyFill="1" applyAlignment="1">
      <alignment horizontal="center"/>
    </xf>
    <xf numFmtId="0" fontId="0" fillId="0" borderId="9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2" applyAlignment="1">
      <alignment vertical="center" wrapText="1"/>
    </xf>
    <xf numFmtId="0" fontId="0" fillId="0" borderId="0" xfId="0" applyAlignment="1">
      <alignment vertical="center" wrapText="1"/>
    </xf>
    <xf numFmtId="9" fontId="1" fillId="0" borderId="0" xfId="0" applyNumberFormat="1" applyFont="1" applyAlignment="1">
      <alignment vertical="center" wrapText="1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14" fontId="7" fillId="5" borderId="0" xfId="0" applyNumberFormat="1" applyFont="1" applyFill="1"/>
    <xf numFmtId="0" fontId="6" fillId="5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horizontal="left" vertical="center" wrapText="1" indent="1"/>
    </xf>
    <xf numFmtId="0" fontId="9" fillId="5" borderId="9" xfId="0" applyFont="1" applyFill="1" applyBorder="1" applyAlignment="1">
      <alignment horizontal="left" vertical="center" wrapText="1" indent="1"/>
    </xf>
    <xf numFmtId="0" fontId="9" fillId="5" borderId="15" xfId="0" applyFont="1" applyFill="1" applyBorder="1" applyAlignment="1">
      <alignment horizontal="left" vertical="center" wrapText="1" indent="1"/>
    </xf>
    <xf numFmtId="0" fontId="9" fillId="5" borderId="22" xfId="0" applyFont="1" applyFill="1" applyBorder="1" applyAlignment="1">
      <alignment horizontal="left" vertical="center" wrapText="1" indent="1"/>
    </xf>
    <xf numFmtId="0" fontId="12" fillId="5" borderId="17" xfId="0" applyFont="1" applyFill="1" applyBorder="1" applyAlignment="1">
      <alignment horizontal="left" vertical="center" wrapText="1" indent="1"/>
    </xf>
    <xf numFmtId="8" fontId="9" fillId="5" borderId="20" xfId="0" applyNumberFormat="1" applyFont="1" applyFill="1" applyBorder="1" applyAlignment="1">
      <alignment horizontal="left" vertical="center" wrapText="1" indent="1"/>
    </xf>
    <xf numFmtId="0" fontId="9" fillId="5" borderId="9" xfId="0" applyFont="1" applyFill="1" applyBorder="1" applyAlignment="1">
      <alignment horizontal="center" vertical="center" wrapText="1"/>
    </xf>
    <xf numFmtId="169" fontId="14" fillId="5" borderId="9" xfId="0" applyNumberFormat="1" applyFont="1" applyFill="1" applyBorder="1" applyAlignment="1">
      <alignment horizontal="left" vertical="center" wrapText="1" indent="1"/>
    </xf>
    <xf numFmtId="6" fontId="12" fillId="5" borderId="9" xfId="0" applyNumberFormat="1" applyFont="1" applyFill="1" applyBorder="1" applyAlignment="1">
      <alignment horizontal="left" vertical="center" wrapText="1" indent="1"/>
    </xf>
    <xf numFmtId="6" fontId="9" fillId="5" borderId="20" xfId="0" applyNumberFormat="1" applyFont="1" applyFill="1" applyBorder="1" applyAlignment="1">
      <alignment horizontal="left" vertical="center" wrapText="1" indent="1"/>
    </xf>
    <xf numFmtId="6" fontId="17" fillId="5" borderId="20" xfId="0" applyNumberFormat="1" applyFont="1" applyFill="1" applyBorder="1" applyAlignment="1">
      <alignment horizontal="left" vertical="center" wrapText="1" indent="1"/>
    </xf>
    <xf numFmtId="0" fontId="0" fillId="5" borderId="9" xfId="0" applyFill="1" applyBorder="1" applyAlignment="1">
      <alignment horizontal="center"/>
    </xf>
    <xf numFmtId="0" fontId="16" fillId="5" borderId="0" xfId="0" applyFont="1" applyFill="1"/>
    <xf numFmtId="8" fontId="6" fillId="5" borderId="0" xfId="0" applyNumberFormat="1" applyFont="1" applyFill="1"/>
    <xf numFmtId="0" fontId="0" fillId="5" borderId="12" xfId="0" applyFill="1" applyBorder="1"/>
    <xf numFmtId="0" fontId="0" fillId="5" borderId="14" xfId="0" applyFill="1" applyBorder="1"/>
    <xf numFmtId="6" fontId="0" fillId="5" borderId="9" xfId="0" applyNumberFormat="1" applyFill="1" applyBorder="1"/>
    <xf numFmtId="6" fontId="0" fillId="7" borderId="9" xfId="0" applyNumberFormat="1" applyFill="1" applyBorder="1"/>
    <xf numFmtId="6" fontId="7" fillId="5" borderId="19" xfId="0" applyNumberFormat="1" applyFont="1" applyFill="1" applyBorder="1" applyAlignment="1">
      <alignment horizontal="left" vertical="center" wrapText="1" indent="1"/>
    </xf>
    <xf numFmtId="0" fontId="0" fillId="5" borderId="9" xfId="0" applyFill="1" applyBorder="1"/>
    <xf numFmtId="0" fontId="20" fillId="5" borderId="0" xfId="0" applyFont="1" applyFill="1"/>
    <xf numFmtId="0" fontId="6" fillId="0" borderId="0" xfId="0" applyFont="1"/>
    <xf numFmtId="0" fontId="18" fillId="5" borderId="0" xfId="0" applyFont="1" applyFill="1"/>
    <xf numFmtId="0" fontId="21" fillId="5" borderId="0" xfId="2" applyFont="1" applyFill="1"/>
    <xf numFmtId="0" fontId="1" fillId="2" borderId="1" xfId="0" applyFont="1" applyFill="1" applyBorder="1"/>
    <xf numFmtId="164" fontId="0" fillId="5" borderId="13" xfId="0" applyNumberFormat="1" applyFill="1" applyBorder="1"/>
    <xf numFmtId="164" fontId="0" fillId="5" borderId="9" xfId="0" applyNumberFormat="1" applyFill="1" applyBorder="1"/>
    <xf numFmtId="0" fontId="0" fillId="5" borderId="1" xfId="0" applyFill="1" applyBorder="1"/>
    <xf numFmtId="6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4" fontId="9" fillId="5" borderId="9" xfId="0" applyNumberFormat="1" applyFont="1" applyFill="1" applyBorder="1" applyAlignment="1" applyProtection="1">
      <alignment horizontal="left" vertical="center" wrapText="1" indent="1"/>
      <protection locked="0"/>
    </xf>
    <xf numFmtId="8" fontId="9" fillId="5" borderId="9" xfId="0" applyNumberFormat="1" applyFont="1" applyFill="1" applyBorder="1" applyAlignment="1" applyProtection="1">
      <alignment horizontal="left" vertical="center" wrapText="1" indent="1"/>
      <protection locked="0"/>
    </xf>
    <xf numFmtId="8" fontId="9" fillId="5" borderId="15" xfId="0" applyNumberFormat="1" applyFont="1" applyFill="1" applyBorder="1" applyAlignment="1" applyProtection="1">
      <alignment horizontal="left" vertical="center" wrapText="1" indent="1"/>
      <protection locked="0"/>
    </xf>
    <xf numFmtId="8" fontId="9" fillId="5" borderId="22" xfId="0" applyNumberFormat="1" applyFont="1" applyFill="1" applyBorder="1" applyAlignment="1" applyProtection="1">
      <alignment horizontal="left" vertical="center" wrapText="1" indent="1"/>
      <protection locked="0"/>
    </xf>
    <xf numFmtId="1" fontId="9" fillId="5" borderId="6" xfId="0" applyNumberFormat="1" applyFont="1" applyFill="1" applyBorder="1" applyAlignment="1" applyProtection="1">
      <alignment horizontal="center" vertical="center" wrapText="1"/>
      <protection locked="0"/>
    </xf>
    <xf numFmtId="1" fontId="9" fillId="5" borderId="9" xfId="0" applyNumberFormat="1" applyFont="1" applyFill="1" applyBorder="1" applyAlignment="1" applyProtection="1">
      <alignment horizontal="center" vertical="center" wrapText="1"/>
      <protection locked="0"/>
    </xf>
    <xf numFmtId="167" fontId="9" fillId="5" borderId="9" xfId="0" applyNumberFormat="1" applyFont="1" applyFill="1" applyBorder="1" applyAlignment="1" applyProtection="1">
      <alignment horizontal="left" vertical="center" wrapText="1" indent="1"/>
      <protection locked="0"/>
    </xf>
    <xf numFmtId="167" fontId="9" fillId="5" borderId="22" xfId="0" applyNumberFormat="1" applyFont="1" applyFill="1" applyBorder="1" applyAlignment="1" applyProtection="1">
      <alignment horizontal="left" vertical="center" wrapText="1" indent="1"/>
      <protection locked="0"/>
    </xf>
    <xf numFmtId="8" fontId="9" fillId="5" borderId="15" xfId="0" applyNumberFormat="1" applyFont="1" applyFill="1" applyBorder="1" applyAlignment="1" applyProtection="1">
      <alignment horizontal="center" vertical="center" wrapText="1"/>
      <protection locked="0"/>
    </xf>
    <xf numFmtId="6" fontId="0" fillId="5" borderId="9" xfId="0" applyNumberFormat="1" applyFill="1" applyBorder="1" applyProtection="1">
      <protection locked="0"/>
    </xf>
    <xf numFmtId="8" fontId="9" fillId="10" borderId="9" xfId="0" applyNumberFormat="1" applyFont="1" applyFill="1" applyBorder="1" applyAlignment="1" applyProtection="1">
      <alignment horizontal="center" vertical="center" wrapText="1"/>
      <protection locked="0"/>
    </xf>
    <xf numFmtId="6" fontId="9" fillId="5" borderId="9" xfId="0" applyNumberFormat="1" applyFont="1" applyFill="1" applyBorder="1" applyAlignment="1" applyProtection="1">
      <alignment horizontal="left" vertical="center" wrapText="1" indent="1"/>
      <protection locked="0"/>
    </xf>
    <xf numFmtId="0" fontId="23" fillId="10" borderId="25" xfId="0" applyFont="1" applyFill="1" applyBorder="1" applyAlignment="1">
      <alignment horizontal="right"/>
    </xf>
    <xf numFmtId="0" fontId="8" fillId="11" borderId="21" xfId="0" applyFont="1" applyFill="1" applyBorder="1" applyAlignment="1" applyProtection="1">
      <alignment horizontal="center"/>
      <protection locked="0"/>
    </xf>
    <xf numFmtId="6" fontId="15" fillId="5" borderId="9" xfId="0" applyNumberFormat="1" applyFont="1" applyFill="1" applyBorder="1" applyAlignment="1">
      <alignment horizontal="left" vertical="center" wrapText="1" indent="1"/>
    </xf>
    <xf numFmtId="6" fontId="14" fillId="5" borderId="14" xfId="0" applyNumberFormat="1" applyFont="1" applyFill="1" applyBorder="1" applyAlignment="1">
      <alignment horizontal="left" vertical="center" wrapText="1" indent="1"/>
    </xf>
    <xf numFmtId="3" fontId="11" fillId="11" borderId="2" xfId="3" applyNumberFormat="1" applyFont="1" applyFill="1" applyAlignment="1" applyProtection="1">
      <alignment horizontal="center" vertical="center"/>
      <protection locked="0"/>
    </xf>
    <xf numFmtId="8" fontId="9" fillId="5" borderId="9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center" wrapText="1" indent="1"/>
    </xf>
    <xf numFmtId="172" fontId="6" fillId="0" borderId="16" xfId="0" applyNumberFormat="1" applyFont="1" applyBorder="1" applyAlignment="1">
      <alignment horizontal="left" vertical="center" wrapText="1" indent="1"/>
    </xf>
    <xf numFmtId="8" fontId="6" fillId="0" borderId="16" xfId="0" applyNumberFormat="1" applyFont="1" applyBorder="1" applyAlignment="1">
      <alignment horizontal="left" vertical="center" wrapText="1" indent="1"/>
    </xf>
    <xf numFmtId="8" fontId="7" fillId="5" borderId="13" xfId="0" applyNumberFormat="1" applyFont="1" applyFill="1" applyBorder="1" applyAlignment="1">
      <alignment horizontal="left" vertical="center" wrapText="1" indent="1"/>
    </xf>
    <xf numFmtId="6" fontId="7" fillId="5" borderId="0" xfId="0" applyNumberFormat="1" applyFont="1" applyFill="1"/>
    <xf numFmtId="8" fontId="7" fillId="0" borderId="0" xfId="0" applyNumberFormat="1" applyFont="1"/>
    <xf numFmtId="0" fontId="0" fillId="7" borderId="12" xfId="0" applyFill="1" applyBorder="1"/>
    <xf numFmtId="0" fontId="0" fillId="7" borderId="14" xfId="0" applyFill="1" applyBorder="1"/>
    <xf numFmtId="0" fontId="0" fillId="7" borderId="13" xfId="0" applyFill="1" applyBorder="1"/>
    <xf numFmtId="0" fontId="0" fillId="5" borderId="12" xfId="0" applyFill="1" applyBorder="1" applyAlignment="1" applyProtection="1">
      <alignment wrapText="1"/>
      <protection locked="0"/>
    </xf>
    <xf numFmtId="0" fontId="0" fillId="5" borderId="14" xfId="0" applyFill="1" applyBorder="1" applyAlignment="1" applyProtection="1">
      <alignment wrapText="1"/>
      <protection locked="0"/>
    </xf>
    <xf numFmtId="0" fontId="0" fillId="5" borderId="13" xfId="0" applyFill="1" applyBorder="1" applyAlignment="1" applyProtection="1">
      <alignment wrapText="1"/>
      <protection locked="0"/>
    </xf>
    <xf numFmtId="0" fontId="0" fillId="5" borderId="12" xfId="0" applyFill="1" applyBorder="1"/>
    <xf numFmtId="0" fontId="0" fillId="5" borderId="14" xfId="0" applyFill="1" applyBorder="1"/>
    <xf numFmtId="0" fontId="0" fillId="5" borderId="13" xfId="0" applyFill="1" applyBorder="1"/>
    <xf numFmtId="0" fontId="0" fillId="5" borderId="12" xfId="0" applyFill="1" applyBorder="1" applyAlignment="1">
      <alignment horizontal="center" wrapText="1"/>
    </xf>
    <xf numFmtId="0" fontId="0" fillId="5" borderId="14" xfId="0" applyFill="1" applyBorder="1" applyAlignment="1">
      <alignment horizontal="center" wrapText="1"/>
    </xf>
    <xf numFmtId="0" fontId="0" fillId="5" borderId="13" xfId="0" applyFill="1" applyBorder="1" applyAlignment="1">
      <alignment horizontal="center" wrapText="1"/>
    </xf>
    <xf numFmtId="0" fontId="11" fillId="5" borderId="12" xfId="0" applyFont="1" applyFill="1" applyBorder="1" applyAlignment="1">
      <alignment horizontal="center" wrapText="1"/>
    </xf>
    <xf numFmtId="0" fontId="11" fillId="5" borderId="14" xfId="0" applyFont="1" applyFill="1" applyBorder="1" applyAlignment="1">
      <alignment horizontal="center" wrapText="1"/>
    </xf>
    <xf numFmtId="0" fontId="11" fillId="5" borderId="13" xfId="0" applyFont="1" applyFill="1" applyBorder="1" applyAlignment="1">
      <alignment horizontal="center" wrapText="1"/>
    </xf>
    <xf numFmtId="3" fontId="23" fillId="10" borderId="26" xfId="0" applyNumberFormat="1" applyFont="1" applyFill="1" applyBorder="1"/>
    <xf numFmtId="0" fontId="23" fillId="10" borderId="27" xfId="0" applyFont="1" applyFill="1" applyBorder="1"/>
    <xf numFmtId="0" fontId="8" fillId="5" borderId="3" xfId="0" applyFont="1" applyFill="1" applyBorder="1" applyAlignment="1">
      <alignment horizontal="center" wrapText="1"/>
    </xf>
    <xf numFmtId="0" fontId="0" fillId="5" borderId="4" xfId="0" applyFill="1" applyBorder="1" applyAlignment="1">
      <alignment horizontal="center" wrapText="1"/>
    </xf>
    <xf numFmtId="0" fontId="9" fillId="5" borderId="12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left" vertical="center" wrapText="1" indent="1"/>
    </xf>
    <xf numFmtId="0" fontId="0" fillId="5" borderId="13" xfId="0" applyFill="1" applyBorder="1" applyAlignment="1">
      <alignment horizontal="left" vertical="center" wrapText="1" indent="1"/>
    </xf>
    <xf numFmtId="0" fontId="0" fillId="5" borderId="12" xfId="0" applyFill="1" applyBorder="1" applyAlignment="1">
      <alignment wrapText="1"/>
    </xf>
    <xf numFmtId="0" fontId="0" fillId="5" borderId="13" xfId="0" applyFill="1" applyBorder="1" applyAlignment="1">
      <alignment wrapText="1"/>
    </xf>
    <xf numFmtId="167" fontId="0" fillId="5" borderId="12" xfId="0" applyNumberFormat="1" applyFill="1" applyBorder="1" applyAlignment="1">
      <alignment horizontal="center" wrapText="1"/>
    </xf>
    <xf numFmtId="167" fontId="0" fillId="5" borderId="13" xfId="0" applyNumberFormat="1" applyFill="1" applyBorder="1" applyAlignment="1">
      <alignment horizontal="center" wrapText="1"/>
    </xf>
    <xf numFmtId="0" fontId="22" fillId="10" borderId="12" xfId="0" applyFont="1" applyFill="1" applyBorder="1" applyAlignment="1">
      <alignment horizontal="center" wrapText="1"/>
    </xf>
    <xf numFmtId="0" fontId="22" fillId="10" borderId="14" xfId="0" applyFont="1" applyFill="1" applyBorder="1" applyAlignment="1">
      <alignment horizontal="center" wrapText="1"/>
    </xf>
    <xf numFmtId="0" fontId="22" fillId="10" borderId="13" xfId="0" applyFont="1" applyFill="1" applyBorder="1" applyAlignment="1">
      <alignment horizontal="center" wrapText="1"/>
    </xf>
    <xf numFmtId="0" fontId="12" fillId="5" borderId="17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19" fillId="4" borderId="12" xfId="0" applyFont="1" applyFill="1" applyBorder="1" applyAlignment="1">
      <alignment horizontal="center" wrapText="1"/>
    </xf>
    <xf numFmtId="0" fontId="19" fillId="4" borderId="13" xfId="0" applyFont="1" applyFill="1" applyBorder="1" applyAlignment="1">
      <alignment horizontal="center" wrapText="1"/>
    </xf>
    <xf numFmtId="8" fontId="1" fillId="4" borderId="12" xfId="0" applyNumberFormat="1" applyFont="1" applyFill="1" applyBorder="1" applyAlignment="1">
      <alignment horizontal="center" wrapText="1"/>
    </xf>
    <xf numFmtId="8" fontId="1" fillId="4" borderId="13" xfId="0" applyNumberFormat="1" applyFont="1" applyFill="1" applyBorder="1" applyAlignment="1">
      <alignment horizontal="center" wrapText="1"/>
    </xf>
    <xf numFmtId="0" fontId="12" fillId="5" borderId="12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 indent="1"/>
    </xf>
    <xf numFmtId="0" fontId="0" fillId="0" borderId="14" xfId="0" applyBorder="1" applyAlignment="1">
      <alignment horizontal="left" vertical="center" wrapText="1" indent="1"/>
    </xf>
    <xf numFmtId="0" fontId="0" fillId="0" borderId="13" xfId="0" applyBorder="1" applyAlignment="1">
      <alignment horizontal="left" vertical="center" wrapText="1" indent="1"/>
    </xf>
    <xf numFmtId="0" fontId="6" fillId="5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9" fillId="5" borderId="17" xfId="0" applyFont="1" applyFill="1" applyBorder="1" applyAlignment="1">
      <alignment horizontal="left" vertical="center" wrapText="1" indent="1"/>
    </xf>
    <xf numFmtId="0" fontId="0" fillId="5" borderId="18" xfId="0" applyFill="1" applyBorder="1" applyAlignment="1">
      <alignment horizontal="left" vertical="center" wrapText="1" indent="1"/>
    </xf>
    <xf numFmtId="0" fontId="17" fillId="5" borderId="17" xfId="0" applyFont="1" applyFill="1" applyBorder="1" applyAlignment="1">
      <alignment horizontal="left" vertical="center" wrapText="1" indent="1"/>
    </xf>
    <xf numFmtId="0" fontId="6" fillId="5" borderId="18" xfId="0" applyFont="1" applyFill="1" applyBorder="1" applyAlignment="1">
      <alignment horizontal="left" vertical="center" wrapText="1" indent="1"/>
    </xf>
    <xf numFmtId="0" fontId="6" fillId="5" borderId="19" xfId="0" applyFont="1" applyFill="1" applyBorder="1" applyAlignment="1">
      <alignment horizontal="left" vertical="center" wrapText="1" indent="1"/>
    </xf>
    <xf numFmtId="0" fontId="0" fillId="0" borderId="10" xfId="0" applyBorder="1"/>
    <xf numFmtId="0" fontId="0" fillId="5" borderId="10" xfId="0" applyFill="1" applyBorder="1"/>
    <xf numFmtId="0" fontId="24" fillId="0" borderId="28" xfId="0" applyFont="1" applyBorder="1" applyAlignment="1">
      <alignment wrapText="1"/>
    </xf>
    <xf numFmtId="0" fontId="24" fillId="0" borderId="28" xfId="0" applyFont="1" applyBorder="1" applyAlignment="1">
      <alignment vertical="center"/>
    </xf>
    <xf numFmtId="6" fontId="24" fillId="0" borderId="28" xfId="0" applyNumberFormat="1" applyFont="1" applyBorder="1" applyAlignment="1">
      <alignment horizontal="right" wrapText="1"/>
    </xf>
    <xf numFmtId="8" fontId="6" fillId="0" borderId="0" xfId="0" applyNumberFormat="1" applyFont="1"/>
    <xf numFmtId="167" fontId="6" fillId="5" borderId="0" xfId="0" applyNumberFormat="1" applyFont="1" applyFill="1"/>
    <xf numFmtId="167" fontId="6" fillId="0" borderId="0" xfId="0" applyNumberFormat="1" applyFont="1"/>
    <xf numFmtId="49" fontId="9" fillId="5" borderId="6" xfId="0" applyNumberFormat="1" applyFont="1" applyFill="1" applyBorder="1" applyAlignment="1" applyProtection="1">
      <alignment horizontal="left" vertical="center" wrapText="1" indent="1"/>
      <protection locked="0"/>
    </xf>
  </cellXfs>
  <cellStyles count="4">
    <cellStyle name="Currency" xfId="1" builtinId="4"/>
    <cellStyle name="Hyperlink" xfId="2" builtinId="8"/>
    <cellStyle name="Input" xfId="3" builtinId="20"/>
    <cellStyle name="Normal" xfId="0" builtinId="0"/>
  </cellStyles>
  <dxfs count="12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00000000-0011-0000-FFFF-FFFF00000000}">
      <tableStyleElement type="wholeTable" dxfId="11"/>
      <tableStyleElement type="headerRow" dxfId="10"/>
      <tableStyleElement type="first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57</xdr:row>
      <xdr:rowOff>76200</xdr:rowOff>
    </xdr:from>
    <xdr:to>
      <xdr:col>4</xdr:col>
      <xdr:colOff>1181100</xdr:colOff>
      <xdr:row>62</xdr:row>
      <xdr:rowOff>38100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9E4C5802-28D1-44E0-A058-5431EE0BDD4F}"/>
            </a:ext>
          </a:extLst>
        </xdr:cNvPr>
        <xdr:cNvSpPr/>
      </xdr:nvSpPr>
      <xdr:spPr>
        <a:xfrm>
          <a:off x="0" y="11734800"/>
          <a:ext cx="7543800" cy="914400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400" b="1"/>
            <a:t> </a:t>
          </a:r>
          <a:r>
            <a:rPr lang="en-US" sz="1400" b="1">
              <a:solidFill>
                <a:schemeClr val="tx1"/>
              </a:solidFill>
            </a:rPr>
            <a:t>Tax Estimate Disclaimer:</a:t>
          </a:r>
          <a:endParaRPr lang="en-US" sz="1400">
            <a:solidFill>
              <a:schemeClr val="tx1"/>
            </a:solidFill>
          </a:endParaRPr>
        </a:p>
        <a:p>
          <a:r>
            <a:rPr lang="en-US" sz="1400">
              <a:solidFill>
                <a:schemeClr val="tx1"/>
              </a:solidFill>
            </a:rPr>
            <a:t>This is an estimate only. The final tax bill may differ. Not responsible for errors. For information only</a:t>
          </a:r>
          <a:r>
            <a:rPr lang="en-US" sz="1400"/>
            <a:t>.</a:t>
          </a:r>
        </a:p>
        <a:p>
          <a:pPr algn="l"/>
          <a:endParaRPr lang="en-US" sz="1100"/>
        </a:p>
      </xdr:txBody>
    </xdr:sp>
    <xdr:clientData/>
  </xdr:twoCellAnchor>
  <xdr:twoCellAnchor>
    <xdr:from>
      <xdr:col>11</xdr:col>
      <xdr:colOff>38100</xdr:colOff>
      <xdr:row>1</xdr:row>
      <xdr:rowOff>238125</xdr:rowOff>
    </xdr:from>
    <xdr:to>
      <xdr:col>12</xdr:col>
      <xdr:colOff>0</xdr:colOff>
      <xdr:row>1</xdr:row>
      <xdr:rowOff>238125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9AB6EC7C-10FF-0C11-344E-E8440E306B26}"/>
            </a:ext>
          </a:extLst>
        </xdr:cNvPr>
        <xdr:cNvCxnSpPr/>
      </xdr:nvCxnSpPr>
      <xdr:spPr>
        <a:xfrm flipH="1">
          <a:off x="7715250" y="438150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1295400</xdr:colOff>
      <xdr:row>4</xdr:row>
      <xdr:rowOff>152400</xdr:rowOff>
    </xdr:from>
    <xdr:to>
      <xdr:col>11</xdr:col>
      <xdr:colOff>447675</xdr:colOff>
      <xdr:row>4</xdr:row>
      <xdr:rowOff>152400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1EBD4C57-00F6-4470-A48C-4312B770F508}"/>
            </a:ext>
          </a:extLst>
        </xdr:cNvPr>
        <xdr:cNvCxnSpPr/>
      </xdr:nvCxnSpPr>
      <xdr:spPr>
        <a:xfrm flipH="1">
          <a:off x="7658100" y="1219200"/>
          <a:ext cx="4667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23</xdr:row>
      <xdr:rowOff>104775</xdr:rowOff>
    </xdr:from>
    <xdr:to>
      <xdr:col>13</xdr:col>
      <xdr:colOff>76200</xdr:colOff>
      <xdr:row>23</xdr:row>
      <xdr:rowOff>105103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76E814F6-0D49-8680-6825-752133081F23}"/>
            </a:ext>
          </a:extLst>
        </xdr:cNvPr>
        <xdr:cNvCxnSpPr/>
      </xdr:nvCxnSpPr>
      <xdr:spPr>
        <a:xfrm flipH="1">
          <a:off x="7677150" y="5676900"/>
          <a:ext cx="800100" cy="32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1276350</xdr:colOff>
      <xdr:row>4</xdr:row>
      <xdr:rowOff>142875</xdr:rowOff>
    </xdr:from>
    <xdr:to>
      <xdr:col>12</xdr:col>
      <xdr:colOff>676275</xdr:colOff>
      <xdr:row>4</xdr:row>
      <xdr:rowOff>142875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B4079BAA-4ECD-A504-9167-917620A5A0D4}"/>
            </a:ext>
          </a:extLst>
        </xdr:cNvPr>
        <xdr:cNvCxnSpPr/>
      </xdr:nvCxnSpPr>
      <xdr:spPr>
        <a:xfrm flipH="1">
          <a:off x="7639050" y="1209675"/>
          <a:ext cx="61626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1</xdr:row>
      <xdr:rowOff>219075</xdr:rowOff>
    </xdr:from>
    <xdr:to>
      <xdr:col>12</xdr:col>
      <xdr:colOff>714375</xdr:colOff>
      <xdr:row>1</xdr:row>
      <xdr:rowOff>219075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5801BA03-698C-E0D8-9C8A-06D092F7F12F}"/>
            </a:ext>
          </a:extLst>
        </xdr:cNvPr>
        <xdr:cNvCxnSpPr/>
      </xdr:nvCxnSpPr>
      <xdr:spPr>
        <a:xfrm flipH="1">
          <a:off x="7686675" y="419100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mo/Downloads/expense-reimbursement-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Report"/>
      <sheetName val="Categories"/>
      <sheetName val="©"/>
    </sheetNames>
    <sheetDataSet>
      <sheetData sheetId="0"/>
      <sheetData sheetId="1">
        <row r="1">
          <cell r="A1" t="str">
            <v>**** Categories ****</v>
          </cell>
        </row>
        <row r="2">
          <cell r="A2" t="str">
            <v>Advertising, Sales Exp</v>
          </cell>
        </row>
        <row r="3">
          <cell r="A3" t="str">
            <v>Accounting Fee</v>
          </cell>
        </row>
        <row r="4">
          <cell r="A4" t="str">
            <v>Automobile and truck expenses</v>
          </cell>
        </row>
        <row r="5">
          <cell r="A5" t="str">
            <v>Business Miles</v>
          </cell>
        </row>
        <row r="6">
          <cell r="A6" t="str">
            <v>Bank Service Charges</v>
          </cell>
        </row>
        <row r="7">
          <cell r="A7" t="str">
            <v>Cleaning / Janitorial</v>
          </cell>
        </row>
        <row r="8">
          <cell r="A8" t="str">
            <v>Dues &amp; Membership</v>
          </cell>
        </row>
        <row r="9">
          <cell r="A9" t="str">
            <v>Insurance (Business Related)</v>
          </cell>
        </row>
        <row r="10">
          <cell r="A10" t="str">
            <v>Internet</v>
          </cell>
        </row>
        <row r="11">
          <cell r="A11" t="str">
            <v>Interest on business Loan/Car</v>
          </cell>
        </row>
        <row r="12">
          <cell r="A12" t="str">
            <v>License and Permits</v>
          </cell>
        </row>
        <row r="13">
          <cell r="A13" t="str">
            <v>Legal and professional fees</v>
          </cell>
        </row>
        <row r="14">
          <cell r="A14" t="str">
            <v>Lease Payments ( Car, Printer etc)</v>
          </cell>
        </row>
        <row r="15">
          <cell r="A15" t="str">
            <v>Meal and Entetainment</v>
          </cell>
        </row>
        <row r="16">
          <cell r="A16" t="str">
            <v>Office Expense &amp; Printing</v>
          </cell>
        </row>
        <row r="17">
          <cell r="A17" t="str">
            <v>Payroll Processing Fee</v>
          </cell>
        </row>
        <row r="18">
          <cell r="A18" t="str">
            <v>Parking and Toll</v>
          </cell>
        </row>
        <row r="19">
          <cell r="A19" t="str">
            <v>Postage/Delivery Expenses</v>
          </cell>
        </row>
        <row r="20">
          <cell r="A20" t="str">
            <v>Rent for the office or Eqipments</v>
          </cell>
        </row>
        <row r="21">
          <cell r="A21" t="str">
            <v>Repairs on Business Assets</v>
          </cell>
        </row>
        <row r="22">
          <cell r="A22" t="str">
            <v>State Income Tax paid for last year</v>
          </cell>
        </row>
        <row r="23">
          <cell r="A23" t="str">
            <v>Sec of State ( Annual Report)</v>
          </cell>
        </row>
        <row r="24">
          <cell r="A24" t="str">
            <v>Software Exp</v>
          </cell>
        </row>
        <row r="25">
          <cell r="A25" t="str">
            <v>Storage /Server Fees</v>
          </cell>
        </row>
        <row r="26">
          <cell r="A26" t="str">
            <v>Seminars &amp; Trade Shows</v>
          </cell>
        </row>
        <row r="27">
          <cell r="A27" t="str">
            <v>Small Tools/Small Office Furniture</v>
          </cell>
        </row>
        <row r="28">
          <cell r="A28" t="str">
            <v>Security Service</v>
          </cell>
        </row>
        <row r="29">
          <cell r="A29" t="str">
            <v>Traning Exp/Prof Development</v>
          </cell>
        </row>
        <row r="30">
          <cell r="A30" t="str">
            <v>Telephone  (Land, Cell, Fax)</v>
          </cell>
        </row>
        <row r="31">
          <cell r="A31" t="str">
            <v>Travel Exp (Flight, Taxi etc)</v>
          </cell>
        </row>
        <row r="32">
          <cell r="A32" t="str">
            <v>Website/Webhosting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revenue.iowa.gov/taxes/make-payment" TargetMode="External"/><Relationship Id="rId18" Type="http://schemas.openxmlformats.org/officeDocument/2006/relationships/hyperlink" Target="https://www.mass.gov/info-details/massachusetts-dor-estimated-tax-payments" TargetMode="External"/><Relationship Id="rId26" Type="http://schemas.openxmlformats.org/officeDocument/2006/relationships/hyperlink" Target="https://www.nj.gov/treasury/taxation/njit20.shtml" TargetMode="External"/><Relationship Id="rId39" Type="http://schemas.openxmlformats.org/officeDocument/2006/relationships/hyperlink" Target="https://www.tax.virginia.gov/individual-estimated-tax-payments" TargetMode="External"/><Relationship Id="rId21" Type="http://schemas.openxmlformats.org/officeDocument/2006/relationships/hyperlink" Target="https://www.dor.ms.gov/forms-resources/make-online-tax-payments" TargetMode="External"/><Relationship Id="rId34" Type="http://schemas.openxmlformats.org/officeDocument/2006/relationships/hyperlink" Target="https://www.pa.gov/services/revenue/make-a-personal-income-tax-payment" TargetMode="External"/><Relationship Id="rId42" Type="http://schemas.openxmlformats.org/officeDocument/2006/relationships/hyperlink" Target="https://directpay.irs.gov/directpay/payment?execution=e1s1" TargetMode="External"/><Relationship Id="rId7" Type="http://schemas.openxmlformats.org/officeDocument/2006/relationships/hyperlink" Target="https://tax.delaware.gov/" TargetMode="External"/><Relationship Id="rId2" Type="http://schemas.openxmlformats.org/officeDocument/2006/relationships/hyperlink" Target="https://www.google.com/search?q=https://aztaxes.gov/PaymentMethod/PaymentOptions" TargetMode="External"/><Relationship Id="rId16" Type="http://schemas.openxmlformats.org/officeDocument/2006/relationships/hyperlink" Target="https://revenue.maine.gov/" TargetMode="External"/><Relationship Id="rId20" Type="http://schemas.openxmlformats.org/officeDocument/2006/relationships/hyperlink" Target="https://www.revenue.state.mn.us/" TargetMode="External"/><Relationship Id="rId29" Type="http://schemas.openxmlformats.org/officeDocument/2006/relationships/hyperlink" Target="https://www.ncdor.gov/file-pay/file-pay-individuals" TargetMode="External"/><Relationship Id="rId41" Type="http://schemas.openxmlformats.org/officeDocument/2006/relationships/hyperlink" Target="https://www.revenue.wi.gov/Pages/OnlineServices/Pay.aspx" TargetMode="External"/><Relationship Id="rId1" Type="http://schemas.openxmlformats.org/officeDocument/2006/relationships/hyperlink" Target="https://myalabamataxes.alabama.gov/" TargetMode="External"/><Relationship Id="rId6" Type="http://schemas.openxmlformats.org/officeDocument/2006/relationships/hyperlink" Target="https://drs.ct.gov/eservices/" TargetMode="External"/><Relationship Id="rId11" Type="http://schemas.openxmlformats.org/officeDocument/2006/relationships/hyperlink" Target="https://tax.illinois.gov/individuals/pay.html" TargetMode="External"/><Relationship Id="rId24" Type="http://schemas.openxmlformats.org/officeDocument/2006/relationships/hyperlink" Target="https://revenue.nebraska.gov/individuals/estimated-income-tax" TargetMode="External"/><Relationship Id="rId32" Type="http://schemas.openxmlformats.org/officeDocument/2006/relationships/hyperlink" Target="https://oktap.tax.ok.gov/" TargetMode="External"/><Relationship Id="rId37" Type="http://schemas.openxmlformats.org/officeDocument/2006/relationships/hyperlink" Target="https://www.google.com/search?q=https://tap.utah.gov" TargetMode="External"/><Relationship Id="rId40" Type="http://schemas.openxmlformats.org/officeDocument/2006/relationships/hyperlink" Target="https://www.google.com/search?q=https://mytaxes.wv.gov/Individual/Payments/PayPersonalIncomeTax" TargetMode="External"/><Relationship Id="rId5" Type="http://schemas.openxmlformats.org/officeDocument/2006/relationships/hyperlink" Target="https://tax.colorado.gov/pay-by-credit-debit-echeck" TargetMode="External"/><Relationship Id="rId15" Type="http://schemas.openxmlformats.org/officeDocument/2006/relationships/hyperlink" Target="https://epayment.ky.gov/EPAY" TargetMode="External"/><Relationship Id="rId23" Type="http://schemas.openxmlformats.org/officeDocument/2006/relationships/hyperlink" Target="https://revenue.mt.gov/taxes/estimated-tax-payments" TargetMode="External"/><Relationship Id="rId28" Type="http://schemas.openxmlformats.org/officeDocument/2006/relationships/hyperlink" Target="https://www.tax.ny.gov/pay/ind/pay-estimated-tax.htm" TargetMode="External"/><Relationship Id="rId36" Type="http://schemas.openxmlformats.org/officeDocument/2006/relationships/hyperlink" Target="https://dor.sc.gov/mydorway" TargetMode="External"/><Relationship Id="rId10" Type="http://schemas.openxmlformats.org/officeDocument/2006/relationships/hyperlink" Target="https://tax.idaho.gov/online-services/e-pay/" TargetMode="External"/><Relationship Id="rId19" Type="http://schemas.openxmlformats.org/officeDocument/2006/relationships/hyperlink" Target="https://etreas.michigan.gov/" TargetMode="External"/><Relationship Id="rId31" Type="http://schemas.openxmlformats.org/officeDocument/2006/relationships/hyperlink" Target="https://tax.ohio.gov/wps/portal/gov/tax/individual/pay-now-landing" TargetMode="External"/><Relationship Id="rId4" Type="http://schemas.openxmlformats.org/officeDocument/2006/relationships/hyperlink" Target="https://webapp.ftb.ca.gov/webpay/login/login" TargetMode="External"/><Relationship Id="rId9" Type="http://schemas.openxmlformats.org/officeDocument/2006/relationships/hyperlink" Target="https://portal.ehawaii.gov/business/tax-services/" TargetMode="External"/><Relationship Id="rId14" Type="http://schemas.openxmlformats.org/officeDocument/2006/relationships/hyperlink" Target="https://www.kansas.gov/payment-portal/" TargetMode="External"/><Relationship Id="rId22" Type="http://schemas.openxmlformats.org/officeDocument/2006/relationships/hyperlink" Target="https://mytax.mo.gov/rptp/portal/home/indiv-income-tax" TargetMode="External"/><Relationship Id="rId27" Type="http://schemas.openxmlformats.org/officeDocument/2006/relationships/hyperlink" Target="https://tap.state.nm.us/TAP/_/" TargetMode="External"/><Relationship Id="rId30" Type="http://schemas.openxmlformats.org/officeDocument/2006/relationships/hyperlink" Target="https://www.tax.nd.gov/" TargetMode="External"/><Relationship Id="rId35" Type="http://schemas.openxmlformats.org/officeDocument/2006/relationships/hyperlink" Target="https://taxportal.ri.gov/" TargetMode="External"/><Relationship Id="rId8" Type="http://schemas.openxmlformats.org/officeDocument/2006/relationships/hyperlink" Target="https://dor.georgia.gov/make-quick-payment" TargetMode="External"/><Relationship Id="rId3" Type="http://schemas.openxmlformats.org/officeDocument/2006/relationships/hyperlink" Target="https://atap.arkansas.gov/" TargetMode="External"/><Relationship Id="rId12" Type="http://schemas.openxmlformats.org/officeDocument/2006/relationships/hyperlink" Target="https://www.in.gov/dor/i-need-to/payments-and-billing/" TargetMode="External"/><Relationship Id="rId17" Type="http://schemas.openxmlformats.org/officeDocument/2006/relationships/hyperlink" Target="https://interactive.marylandtaxes.gov/Individuals/Payment/" TargetMode="External"/><Relationship Id="rId25" Type="http://schemas.openxmlformats.org/officeDocument/2006/relationships/hyperlink" Target="https://gtc.revenue.nh.gov/TAP/_/" TargetMode="External"/><Relationship Id="rId33" Type="http://schemas.openxmlformats.org/officeDocument/2006/relationships/hyperlink" Target="https://www.oregon.gov/dor/programs/individuals/pages/personal-income-tax-payments.aspx" TargetMode="External"/><Relationship Id="rId38" Type="http://schemas.openxmlformats.org/officeDocument/2006/relationships/hyperlink" Target="https://www.vermont.gov/service/pay-estimated-income-ta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EEBE4-0C74-4387-9F77-EDDE0E410466}">
  <sheetPr codeName="Sheet1"/>
  <dimension ref="A1:BH141"/>
  <sheetViews>
    <sheetView showGridLines="0" tabSelected="1" zoomScaleNormal="100" workbookViewId="0">
      <selection activeCell="A2" sqref="A2:D2"/>
    </sheetView>
  </sheetViews>
  <sheetFormatPr defaultRowHeight="15" x14ac:dyDescent="0.25"/>
  <cols>
    <col min="1" max="1" width="31.42578125" customWidth="1"/>
    <col min="2" max="3" width="24.28515625" customWidth="1"/>
    <col min="4" max="4" width="15.42578125" customWidth="1"/>
    <col min="5" max="5" width="19.7109375" customWidth="1"/>
    <col min="6" max="6" width="19.7109375" hidden="1" customWidth="1"/>
    <col min="7" max="7" width="9.140625" style="13" hidden="1" customWidth="1"/>
    <col min="8" max="8" width="11.140625" hidden="1" customWidth="1"/>
    <col min="9" max="9" width="9.140625" hidden="1" customWidth="1"/>
    <col min="10" max="10" width="12.85546875" hidden="1" customWidth="1"/>
    <col min="11" max="11" width="12.85546875" style="13" hidden="1" customWidth="1"/>
    <col min="12" max="12" width="6.85546875" style="16" hidden="1" customWidth="1"/>
    <col min="13" max="13" width="10.85546875" style="16" customWidth="1"/>
    <col min="14" max="14" width="5.28515625" style="83" customWidth="1"/>
    <col min="15" max="15" width="13.42578125" style="13" customWidth="1"/>
    <col min="16" max="16" width="12.28515625" style="13" customWidth="1"/>
    <col min="17" max="17" width="9.28515625" style="13" customWidth="1"/>
    <col min="18" max="18" width="13.7109375" style="13" customWidth="1"/>
    <col min="19" max="19" width="9.140625" style="13" hidden="1" customWidth="1"/>
    <col min="20" max="20" width="32.140625" style="13" hidden="1" customWidth="1"/>
    <col min="21" max="21" width="13.42578125" style="13" hidden="1" customWidth="1"/>
    <col min="22" max="22" width="9.140625" style="13" hidden="1" customWidth="1"/>
    <col min="23" max="23" width="16" style="13" hidden="1" customWidth="1"/>
    <col min="24" max="26" width="9.140625" style="13" hidden="1" customWidth="1"/>
    <col min="27" max="30" width="9.140625" style="13" customWidth="1"/>
    <col min="31" max="31" width="12.7109375" style="13" customWidth="1"/>
    <col min="32" max="32" width="9.140625" style="13" customWidth="1"/>
    <col min="33" max="33" width="10.28515625" style="13" customWidth="1"/>
    <col min="34" max="34" width="14.5703125" style="13" customWidth="1"/>
    <col min="35" max="35" width="11.140625" style="13" customWidth="1"/>
    <col min="36" max="38" width="9.140625" style="13" customWidth="1"/>
    <col min="39" max="42" width="9.140625" style="13" hidden="1" customWidth="1"/>
    <col min="43" max="43" width="12.85546875" style="13" hidden="1" customWidth="1"/>
    <col min="44" max="44" width="11.28515625" style="13" hidden="1" customWidth="1"/>
    <col min="45" max="51" width="9.140625" style="13" hidden="1" customWidth="1"/>
    <col min="52" max="60" width="9.140625" style="13"/>
  </cols>
  <sheetData>
    <row r="1" spans="1:50" ht="15.75" thickBot="1" x14ac:dyDescent="0.3">
      <c r="AT1" s="105">
        <v>0</v>
      </c>
      <c r="AU1" s="105" t="s">
        <v>66</v>
      </c>
      <c r="AV1" s="105" t="s">
        <v>21</v>
      </c>
      <c r="AW1" s="105" t="s">
        <v>92</v>
      </c>
      <c r="AX1" s="105" t="s">
        <v>94</v>
      </c>
    </row>
    <row r="2" spans="1:50" ht="29.25" customHeight="1" thickBot="1" x14ac:dyDescent="0.55000000000000004">
      <c r="A2" s="157" t="s">
        <v>280</v>
      </c>
      <c r="B2" s="158"/>
      <c r="C2" s="158"/>
      <c r="D2" s="158"/>
      <c r="E2" s="129">
        <v>2025</v>
      </c>
      <c r="F2" s="80"/>
      <c r="G2" s="80"/>
      <c r="H2" s="81"/>
      <c r="N2" s="83" t="s">
        <v>281</v>
      </c>
      <c r="S2" s="13" t="s">
        <v>11</v>
      </c>
      <c r="T2" s="13" t="s">
        <v>12</v>
      </c>
      <c r="U2" s="14">
        <f>B16+B15+B14</f>
        <v>0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T2" s="105">
        <v>2025</v>
      </c>
      <c r="AU2" s="105">
        <v>15750</v>
      </c>
      <c r="AV2" s="105">
        <v>31500</v>
      </c>
      <c r="AW2" s="105">
        <v>15750</v>
      </c>
      <c r="AX2" s="105">
        <v>23625</v>
      </c>
    </row>
    <row r="3" spans="1:50" ht="20.100000000000001" customHeight="1" x14ac:dyDescent="0.3">
      <c r="A3" s="84" t="s">
        <v>13</v>
      </c>
      <c r="B3" s="206"/>
      <c r="C3" s="161" t="s">
        <v>282</v>
      </c>
      <c r="D3" s="162"/>
      <c r="E3" s="120"/>
      <c r="K3" s="15">
        <f>2025-YEAR(B4)</f>
        <v>125</v>
      </c>
      <c r="M3" s="82"/>
      <c r="N3" s="16">
        <f>IF(K3&gt;100,0,K3)</f>
        <v>0</v>
      </c>
      <c r="O3" s="13" t="s">
        <v>14</v>
      </c>
      <c r="S3" s="13" t="s">
        <v>15</v>
      </c>
      <c r="T3" s="13" t="s">
        <v>16</v>
      </c>
      <c r="U3" s="13">
        <v>0</v>
      </c>
      <c r="AA3"/>
      <c r="AB3" s="171" t="s">
        <v>313</v>
      </c>
      <c r="AC3" s="172"/>
      <c r="AD3" s="172"/>
      <c r="AE3" s="172"/>
      <c r="AF3" s="172"/>
      <c r="AG3" s="172"/>
      <c r="AH3" s="172"/>
      <c r="AI3" s="172"/>
      <c r="AJ3" s="172"/>
      <c r="AK3" s="173"/>
      <c r="AL3"/>
      <c r="AM3"/>
      <c r="AN3"/>
      <c r="AO3"/>
      <c r="AP3"/>
      <c r="AT3" s="105">
        <v>2026</v>
      </c>
      <c r="AU3" s="105">
        <v>16100</v>
      </c>
      <c r="AV3" s="105">
        <v>32200</v>
      </c>
      <c r="AW3" s="105">
        <v>16100</v>
      </c>
      <c r="AX3" s="105">
        <v>24150</v>
      </c>
    </row>
    <row r="4" spans="1:50" ht="20.100000000000001" customHeight="1" x14ac:dyDescent="0.25">
      <c r="A4" s="85" t="s">
        <v>17</v>
      </c>
      <c r="B4" s="116"/>
      <c r="C4" s="163" t="s">
        <v>277</v>
      </c>
      <c r="D4" s="164"/>
      <c r="E4" s="121"/>
      <c r="K4" s="15">
        <f>2025-YEAR(B5)</f>
        <v>125</v>
      </c>
      <c r="L4" s="82"/>
      <c r="M4" s="82"/>
      <c r="N4" s="16">
        <f>IF(K4&gt;100,0,K4)</f>
        <v>0</v>
      </c>
      <c r="S4" s="13" t="s">
        <v>18</v>
      </c>
      <c r="T4" s="13" t="s">
        <v>19</v>
      </c>
      <c r="U4" s="13">
        <v>0</v>
      </c>
      <c r="AA4"/>
      <c r="AB4" s="1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T4" s="105">
        <v>2027</v>
      </c>
      <c r="AU4" s="105"/>
      <c r="AV4" s="105"/>
      <c r="AW4" s="105"/>
      <c r="AX4" s="105"/>
    </row>
    <row r="5" spans="1:50" ht="20.100000000000001" customHeight="1" x14ac:dyDescent="0.25">
      <c r="A5" s="85" t="s">
        <v>20</v>
      </c>
      <c r="B5" s="116"/>
      <c r="C5" s="163" t="s">
        <v>290</v>
      </c>
      <c r="D5" s="164"/>
      <c r="E5" s="132" t="s">
        <v>21</v>
      </c>
      <c r="F5" s="17" t="s">
        <v>22</v>
      </c>
      <c r="G5" s="18">
        <f>IF(F5="Jan",12,IF(F5="Feb",11,IF(F5="Mar",10,IF(F5="Apr",9,IF(F5="May",8,IF(F5="June",7,IF(F5="July",6,IF(F5="Aug",5,IF(F5="Sep",4,IF(F5="Oct",3,IF(F5="Nov",2,IF(F5="Dec",1,""))))))))))))</f>
        <v>8</v>
      </c>
      <c r="N5" s="83" t="s">
        <v>289</v>
      </c>
      <c r="S5" s="13" t="s">
        <v>23</v>
      </c>
      <c r="T5" s="13" t="s">
        <v>24</v>
      </c>
      <c r="U5" s="19">
        <f>E17</f>
        <v>0</v>
      </c>
      <c r="AA5"/>
      <c r="AB5" s="128" t="s">
        <v>314</v>
      </c>
      <c r="AC5" s="155" t="str">
        <f>E5</f>
        <v>MFJ</v>
      </c>
      <c r="AD5" s="156"/>
      <c r="AE5"/>
      <c r="AG5"/>
      <c r="AH5"/>
      <c r="AI5"/>
      <c r="AJ5"/>
      <c r="AK5"/>
      <c r="AL5"/>
      <c r="AM5"/>
      <c r="AN5"/>
      <c r="AO5" t="s">
        <v>6</v>
      </c>
      <c r="AP5"/>
    </row>
    <row r="6" spans="1:50" ht="27.75" customHeight="1" thickBot="1" x14ac:dyDescent="0.4">
      <c r="A6" s="86" t="s">
        <v>25</v>
      </c>
      <c r="B6" s="86" t="s">
        <v>26</v>
      </c>
      <c r="C6" s="165" t="s">
        <v>27</v>
      </c>
      <c r="D6" s="166"/>
      <c r="E6" s="86" t="s">
        <v>28</v>
      </c>
      <c r="F6" s="20" t="s">
        <v>29</v>
      </c>
      <c r="J6" s="198" t="s">
        <v>324</v>
      </c>
      <c r="K6" s="199"/>
      <c r="O6" s="152" t="s">
        <v>30</v>
      </c>
      <c r="P6" s="153"/>
      <c r="Q6" s="153"/>
      <c r="R6" s="154"/>
      <c r="S6" s="13" t="s">
        <v>31</v>
      </c>
      <c r="T6" s="13" t="s">
        <v>32</v>
      </c>
      <c r="U6" s="13">
        <f>IF(E5="Single",197300,IF(E5="MFJ",394600,IF(E5="MFS",197300,IF(E5="HH",197300,13850))))</f>
        <v>394600</v>
      </c>
      <c r="AA6"/>
      <c r="AB6"/>
      <c r="AC6"/>
      <c r="AD6"/>
      <c r="AE6"/>
      <c r="AF6"/>
      <c r="AG6"/>
      <c r="AH6"/>
      <c r="AI6"/>
      <c r="AJ6" s="16"/>
      <c r="AK6" s="16"/>
      <c r="AL6"/>
      <c r="AM6"/>
      <c r="AN6"/>
      <c r="AO6"/>
      <c r="AP6"/>
    </row>
    <row r="7" spans="1:50" ht="20.100000000000001" customHeight="1" thickBot="1" x14ac:dyDescent="0.3">
      <c r="A7" s="87" t="s">
        <v>279</v>
      </c>
      <c r="B7" s="117"/>
      <c r="C7" s="159" t="s">
        <v>306</v>
      </c>
      <c r="D7" s="160"/>
      <c r="E7" s="122"/>
      <c r="F7" s="21">
        <f>B7*$G$5</f>
        <v>0</v>
      </c>
      <c r="J7" s="200" t="s">
        <v>325</v>
      </c>
      <c r="K7" s="201" t="s">
        <v>326</v>
      </c>
      <c r="L7" s="83"/>
      <c r="S7" s="13" t="s">
        <v>33</v>
      </c>
      <c r="T7" s="13" t="s">
        <v>34</v>
      </c>
      <c r="U7" s="13">
        <f>IF(E5="Single",247300,IF(E5="MFJ",494600,IF(E5="MFS",247300,IF(E5="HH",247300,13850))))</f>
        <v>494600</v>
      </c>
      <c r="V7" s="22"/>
      <c r="AA7"/>
      <c r="AB7" s="110" t="s">
        <v>0</v>
      </c>
      <c r="AC7" s="110" t="s">
        <v>1</v>
      </c>
      <c r="AD7" s="110" t="s">
        <v>2</v>
      </c>
      <c r="AE7" s="110" t="s">
        <v>3</v>
      </c>
      <c r="AF7" s="110" t="s">
        <v>4</v>
      </c>
      <c r="AG7"/>
      <c r="AH7" s="113" t="s">
        <v>316</v>
      </c>
      <c r="AI7" s="3" cm="1">
        <f t="array" ref="AI7:AJ7">'Tax Estimator'!Q13:R13</f>
        <v>-31500</v>
      </c>
      <c r="AJ7" s="16">
        <v>0</v>
      </c>
      <c r="AK7" s="16"/>
      <c r="AL7"/>
      <c r="AM7"/>
      <c r="AN7"/>
      <c r="AO7" s="2" t="s">
        <v>3</v>
      </c>
      <c r="AP7"/>
      <c r="AR7"/>
    </row>
    <row r="8" spans="1:50" ht="20.100000000000001" customHeight="1" thickBot="1" x14ac:dyDescent="0.3">
      <c r="A8" s="87" t="s">
        <v>278</v>
      </c>
      <c r="B8" s="117"/>
      <c r="C8" s="159" t="s">
        <v>307</v>
      </c>
      <c r="D8" s="160"/>
      <c r="E8" s="122"/>
      <c r="F8" s="21">
        <f>B8*$G$5</f>
        <v>0</v>
      </c>
      <c r="J8" s="200" t="s">
        <v>21</v>
      </c>
      <c r="K8" s="202">
        <v>250000</v>
      </c>
      <c r="L8" s="83"/>
      <c r="O8" s="167" t="s">
        <v>35</v>
      </c>
      <c r="P8" s="168"/>
      <c r="Q8" s="169">
        <f>B17</f>
        <v>0</v>
      </c>
      <c r="R8" s="170"/>
      <c r="S8" s="13" t="s">
        <v>36</v>
      </c>
      <c r="T8" s="13" t="s">
        <v>37</v>
      </c>
      <c r="U8" s="13">
        <f>U7-U6</f>
        <v>100000</v>
      </c>
      <c r="AA8"/>
      <c r="AB8" s="3" cm="1">
        <f t="array" ref="AB8:AD14">_xlfn.CHOOSECOLS(_xlfn._xlws.FILTER(tax_table,_xlfn.CHOOSECOLS(tax_table,-1)=E2),_xlfn.XMATCH(AC5,status_list)*2,_xlfn.XMATCH(AC5,status_list)*2+1,1)</f>
        <v>0</v>
      </c>
      <c r="AC8" s="3">
        <v>23850</v>
      </c>
      <c r="AD8" s="4">
        <v>0.1</v>
      </c>
      <c r="AE8" s="3" cm="1">
        <f t="array" ref="AE8:AE14">_xlfn.LET(
  _xlpm.income,AI7,
  _xlpm.upper,AC8:AC14,
  _xlpm.lower,_xlfn.DROP(_xlfn.VSTACK(0,_xlpm.upper),-1),
  IF(_xlpm.income&lt;=_xlpm.lower,0,
    IF(_xlpm.income&gt;_xlpm.upper,_xlpm.upper-_xlpm.lower,_xlpm.income-_xlpm.lower))
)</f>
        <v>0</v>
      </c>
      <c r="AF8" s="3" cm="1">
        <f t="array" ref="AF8:AF14">AD8:AD14*AE8:AE14</f>
        <v>0</v>
      </c>
      <c r="AG8"/>
      <c r="AH8" s="113" t="s">
        <v>4</v>
      </c>
      <c r="AI8" s="3" cm="1">
        <f t="array" ref="AI8">_xlfn.LET(
  _xlpm.income,AI7,
  _xlpm.tax_rates, AD8:AD14,
  _xlpm.upper,AC8:AC14,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0</v>
      </c>
      <c r="AJ8" s="16"/>
      <c r="AK8" s="16"/>
      <c r="AL8"/>
      <c r="AM8"/>
      <c r="AN8"/>
      <c r="AO8" s="3" cm="1">
        <f t="array" ref="AO8:AO14">_xlfn.LET(
  _xlpm.income,AI7,
  _xlpm.upper,AC8:AC14,
  _xlpm.lower,_xlfn.DROP(_xlfn.VSTACK(0,_xlpm.upper),-1),
  _xlfn.MAP(_xlpm.upper,_xlpm.lower,_xlfn.LAMBDA(_xlpm.a,_xlpm.b,
    IF(_xlpm.income&lt;=_xlpm.b,0,
      IF(_xlpm.income&gt;_xlpm.a,_xlpm.a-_xlpm.b,_xlpm.income-_xlpm.b))
  ))
)</f>
        <v>0</v>
      </c>
      <c r="AP8"/>
    </row>
    <row r="9" spans="1:50" ht="20.100000000000001" customHeight="1" thickBot="1" x14ac:dyDescent="0.3">
      <c r="A9" s="87" t="s">
        <v>38</v>
      </c>
      <c r="B9" s="117"/>
      <c r="C9" s="159" t="s">
        <v>39</v>
      </c>
      <c r="D9" s="160">
        <v>0</v>
      </c>
      <c r="E9" s="122"/>
      <c r="F9" s="21">
        <f t="shared" ref="F9:F15" si="0">B9*$G$5</f>
        <v>0</v>
      </c>
      <c r="J9" s="200" t="s">
        <v>66</v>
      </c>
      <c r="K9" s="202">
        <v>200000</v>
      </c>
      <c r="L9" s="83"/>
      <c r="N9" s="106"/>
      <c r="O9" s="23"/>
      <c r="P9" s="23"/>
      <c r="Q9" s="24"/>
      <c r="R9" s="24"/>
      <c r="S9" s="23" t="s">
        <v>41</v>
      </c>
      <c r="T9" s="13" t="s">
        <v>42</v>
      </c>
      <c r="U9" s="13">
        <f>U5-U6</f>
        <v>-394600</v>
      </c>
      <c r="V9" s="23"/>
      <c r="W9" s="23"/>
      <c r="AA9"/>
      <c r="AB9" s="3">
        <v>23851</v>
      </c>
      <c r="AC9" s="3">
        <v>96950</v>
      </c>
      <c r="AD9" s="4">
        <v>0.12</v>
      </c>
      <c r="AE9" s="3">
        <v>0</v>
      </c>
      <c r="AF9" s="3">
        <v>0</v>
      </c>
      <c r="AG9"/>
      <c r="AH9" s="113" t="s">
        <v>54</v>
      </c>
      <c r="AI9" s="7">
        <f>_xlfn.XLOOKUP(AI7,AC8:AC14,AD8:AD14,,1)</f>
        <v>0.1</v>
      </c>
      <c r="AJ9" s="16"/>
      <c r="AK9" s="109"/>
      <c r="AL9"/>
      <c r="AM9"/>
      <c r="AN9"/>
      <c r="AO9" s="3">
        <v>0</v>
      </c>
      <c r="AP9"/>
    </row>
    <row r="10" spans="1:50" ht="20.100000000000001" customHeight="1" thickBot="1" x14ac:dyDescent="0.3">
      <c r="A10" s="87" t="s">
        <v>43</v>
      </c>
      <c r="B10" s="117"/>
      <c r="C10" s="159" t="s">
        <v>291</v>
      </c>
      <c r="D10" s="160"/>
      <c r="E10" s="122"/>
      <c r="F10" s="21">
        <f t="shared" si="0"/>
        <v>0</v>
      </c>
      <c r="J10" s="200" t="s">
        <v>94</v>
      </c>
      <c r="K10" s="202">
        <v>200000</v>
      </c>
      <c r="L10" s="83"/>
      <c r="N10" s="106"/>
      <c r="O10" s="23"/>
      <c r="P10" s="23"/>
      <c r="Q10" s="24"/>
      <c r="R10" s="24"/>
      <c r="S10" s="23" t="s">
        <v>44</v>
      </c>
      <c r="T10" s="13" t="s">
        <v>45</v>
      </c>
      <c r="U10" s="25">
        <f>U2*0.2</f>
        <v>0</v>
      </c>
      <c r="V10" s="23"/>
      <c r="W10" s="26">
        <f>U5-U6</f>
        <v>-394600</v>
      </c>
      <c r="AA10"/>
      <c r="AB10" s="3">
        <v>96951</v>
      </c>
      <c r="AC10" s="3">
        <v>206700</v>
      </c>
      <c r="AD10" s="4">
        <v>0.22</v>
      </c>
      <c r="AE10" s="3">
        <v>0</v>
      </c>
      <c r="AF10" s="3">
        <v>0</v>
      </c>
      <c r="AG10"/>
      <c r="AH10" s="113" t="s">
        <v>315</v>
      </c>
      <c r="AI10" s="7">
        <f>AI8/AI7</f>
        <v>0</v>
      </c>
      <c r="AJ10" s="16"/>
      <c r="AK10" s="16"/>
      <c r="AL10"/>
      <c r="AM10"/>
      <c r="AN10"/>
      <c r="AO10" s="3">
        <v>0</v>
      </c>
      <c r="AP10"/>
    </row>
    <row r="11" spans="1:50" ht="20.100000000000001" customHeight="1" thickBot="1" x14ac:dyDescent="0.3">
      <c r="A11" s="87" t="s">
        <v>46</v>
      </c>
      <c r="B11" s="117"/>
      <c r="C11" s="159" t="s">
        <v>47</v>
      </c>
      <c r="D11" s="160"/>
      <c r="E11" s="122"/>
      <c r="F11" s="21">
        <f t="shared" si="0"/>
        <v>0</v>
      </c>
      <c r="J11" s="200" t="s">
        <v>327</v>
      </c>
      <c r="K11" s="202">
        <v>200000</v>
      </c>
      <c r="L11" s="83"/>
      <c r="N11" s="98"/>
      <c r="O11" s="167" t="s">
        <v>48</v>
      </c>
      <c r="P11" s="168"/>
      <c r="Q11" s="169">
        <f>E17</f>
        <v>0</v>
      </c>
      <c r="R11" s="170"/>
      <c r="S11" s="22"/>
      <c r="T11" s="22"/>
      <c r="U11" s="22"/>
      <c r="W11" s="19">
        <f>W10/U8</f>
        <v>-3.9460000000000002</v>
      </c>
      <c r="AA11"/>
      <c r="AB11" s="3">
        <v>206701</v>
      </c>
      <c r="AC11" s="3">
        <v>394600</v>
      </c>
      <c r="AD11" s="4">
        <v>0.24</v>
      </c>
      <c r="AE11" s="3">
        <v>0</v>
      </c>
      <c r="AF11" s="3">
        <v>0</v>
      </c>
      <c r="AG11"/>
      <c r="AH11"/>
      <c r="AI11"/>
      <c r="AJ11" s="16"/>
      <c r="AK11" s="16" t="s">
        <v>9</v>
      </c>
      <c r="AL11"/>
      <c r="AM11"/>
      <c r="AN11"/>
      <c r="AO11" s="3">
        <v>0</v>
      </c>
      <c r="AP11"/>
    </row>
    <row r="12" spans="1:50" ht="20.100000000000001" customHeight="1" thickBot="1" x14ac:dyDescent="0.3">
      <c r="A12" s="88" t="s">
        <v>49</v>
      </c>
      <c r="B12" s="118"/>
      <c r="C12" s="159" t="s">
        <v>50</v>
      </c>
      <c r="D12" s="160"/>
      <c r="E12" s="122"/>
      <c r="F12" s="21">
        <f t="shared" si="0"/>
        <v>0</v>
      </c>
      <c r="J12" s="200" t="s">
        <v>92</v>
      </c>
      <c r="K12" s="202">
        <v>125000</v>
      </c>
      <c r="L12" s="83"/>
      <c r="N12" s="106"/>
      <c r="O12" s="22"/>
      <c r="P12" s="22"/>
      <c r="Q12" s="27"/>
      <c r="R12" s="27"/>
      <c r="S12" s="22"/>
      <c r="T12" s="22" t="s">
        <v>51</v>
      </c>
      <c r="U12" s="22">
        <f>IF(U5&lt;=U6, 0.2*U2, IF(U5&gt;=U7, 0, MIN(0.2*U2, MAX(0.5*U3, (0.25*U3 + 0.025*U4))) * (U7-U5)/U8 ) )</f>
        <v>0</v>
      </c>
      <c r="W12" s="13">
        <f>U10*W11</f>
        <v>0</v>
      </c>
      <c r="AA12"/>
      <c r="AB12" s="3">
        <v>394601</v>
      </c>
      <c r="AC12" s="3">
        <v>500050</v>
      </c>
      <c r="AD12" s="4">
        <v>0.32</v>
      </c>
      <c r="AE12" s="3">
        <v>0</v>
      </c>
      <c r="AF12" s="3">
        <v>0</v>
      </c>
      <c r="AG12"/>
      <c r="AH12" s="9"/>
      <c r="AI12"/>
      <c r="AJ12" s="16"/>
      <c r="AK12" s="16">
        <v>2026</v>
      </c>
      <c r="AL12"/>
      <c r="AM12"/>
      <c r="AN12"/>
      <c r="AO12" s="3">
        <v>0</v>
      </c>
      <c r="AP12"/>
    </row>
    <row r="13" spans="1:50" ht="20.100000000000001" customHeight="1" x14ac:dyDescent="0.25">
      <c r="A13" s="88" t="s">
        <v>52</v>
      </c>
      <c r="B13" s="118"/>
      <c r="C13" s="159" t="s">
        <v>53</v>
      </c>
      <c r="D13" s="160"/>
      <c r="E13" s="122"/>
      <c r="F13" s="21">
        <f t="shared" si="0"/>
        <v>0</v>
      </c>
      <c r="J13" s="107"/>
      <c r="K13" s="83"/>
      <c r="L13" s="83"/>
      <c r="N13" s="98"/>
      <c r="O13" s="167" t="s">
        <v>40</v>
      </c>
      <c r="P13" s="168"/>
      <c r="Q13" s="169">
        <f>E35</f>
        <v>-31500</v>
      </c>
      <c r="R13" s="170"/>
      <c r="S13" s="22"/>
      <c r="T13" s="22" t="s">
        <v>51</v>
      </c>
      <c r="U13" s="28" t="s">
        <v>312</v>
      </c>
      <c r="AA13"/>
      <c r="AB13" s="3">
        <v>501051</v>
      </c>
      <c r="AC13" s="3">
        <v>751600</v>
      </c>
      <c r="AD13" s="4">
        <v>0.35</v>
      </c>
      <c r="AE13" s="3">
        <v>0</v>
      </c>
      <c r="AF13" s="3">
        <v>0</v>
      </c>
      <c r="AG13"/>
      <c r="AH13" s="9"/>
      <c r="AI13"/>
      <c r="AJ13" s="16"/>
      <c r="AK13" s="16">
        <v>2025</v>
      </c>
      <c r="AL13"/>
      <c r="AM13"/>
      <c r="AN13"/>
      <c r="AO13" s="3">
        <v>0</v>
      </c>
      <c r="AP13"/>
    </row>
    <row r="14" spans="1:50" ht="20.100000000000001" customHeight="1" x14ac:dyDescent="0.25">
      <c r="A14" s="88" t="s">
        <v>55</v>
      </c>
      <c r="B14" s="118"/>
      <c r="C14" s="159" t="s">
        <v>56</v>
      </c>
      <c r="D14" s="160">
        <v>0</v>
      </c>
      <c r="E14" s="122"/>
      <c r="F14" s="21">
        <f t="shared" si="0"/>
        <v>0</v>
      </c>
      <c r="J14" s="203">
        <f>B7+B8+B15+B16</f>
        <v>0</v>
      </c>
      <c r="K14" s="204">
        <f>VLOOKUP(E5,J7:K12,2,FALSE)</f>
        <v>250000</v>
      </c>
      <c r="L14" s="83"/>
      <c r="N14" s="98"/>
      <c r="O14" s="23" t="s">
        <v>14</v>
      </c>
      <c r="P14" s="22"/>
      <c r="Q14" s="27"/>
      <c r="R14" s="27"/>
      <c r="S14" s="22"/>
      <c r="T14" s="22"/>
      <c r="U14" s="22"/>
      <c r="AA14"/>
      <c r="AB14" s="3">
        <v>751600</v>
      </c>
      <c r="AC14" s="5" t="str">
        <v>and up</v>
      </c>
      <c r="AD14" s="4">
        <v>0.37</v>
      </c>
      <c r="AE14" s="3">
        <v>0</v>
      </c>
      <c r="AF14" s="3">
        <v>0</v>
      </c>
      <c r="AG14"/>
      <c r="AH14" s="8"/>
      <c r="AI14"/>
      <c r="AJ14"/>
      <c r="AK14"/>
      <c r="AL14"/>
      <c r="AM14"/>
      <c r="AN14"/>
      <c r="AO14" s="3">
        <v>0</v>
      </c>
      <c r="AP14"/>
    </row>
    <row r="15" spans="1:50" ht="20.100000000000001" customHeight="1" x14ac:dyDescent="0.25">
      <c r="A15" s="87" t="s">
        <v>57</v>
      </c>
      <c r="B15" s="118"/>
      <c r="C15" s="159" t="s">
        <v>58</v>
      </c>
      <c r="D15" s="160">
        <v>0</v>
      </c>
      <c r="E15" s="122"/>
      <c r="F15" s="21">
        <f t="shared" si="0"/>
        <v>0</v>
      </c>
      <c r="J15" s="205">
        <f>J14-K14</f>
        <v>-250000</v>
      </c>
      <c r="K15" s="83">
        <f>IF(J15&gt;0,J15*0.009,0)</f>
        <v>0</v>
      </c>
      <c r="L15" s="83"/>
      <c r="N15" s="98"/>
      <c r="O15" s="167" t="s">
        <v>59</v>
      </c>
      <c r="P15" s="168"/>
      <c r="Q15" s="169">
        <f>E44</f>
        <v>0</v>
      </c>
      <c r="R15" s="170"/>
      <c r="S15" s="22"/>
      <c r="T15" t="s">
        <v>60</v>
      </c>
      <c r="U15" s="29">
        <f>U5-U6</f>
        <v>-394600</v>
      </c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50" ht="20.100000000000001" customHeight="1" thickBot="1" x14ac:dyDescent="0.3">
      <c r="A16" s="89" t="s">
        <v>61</v>
      </c>
      <c r="B16" s="119"/>
      <c r="C16" s="176" t="s">
        <v>308</v>
      </c>
      <c r="D16" s="177">
        <v>0</v>
      </c>
      <c r="E16" s="123"/>
      <c r="F16" s="21">
        <f>B16*$G$5</f>
        <v>0</v>
      </c>
      <c r="G16" s="13" t="s">
        <v>62</v>
      </c>
      <c r="J16" s="107"/>
      <c r="K16" s="83"/>
      <c r="L16" s="83"/>
      <c r="N16" s="106"/>
      <c r="O16" s="22"/>
      <c r="P16" s="22"/>
      <c r="Q16" s="27"/>
      <c r="R16" s="27"/>
      <c r="S16" s="22"/>
      <c r="T16" t="s">
        <v>63</v>
      </c>
      <c r="U16" s="28">
        <f>U15/U8</f>
        <v>-3.9460000000000002</v>
      </c>
      <c r="AA16"/>
      <c r="AB16" s="100" t="s">
        <v>5</v>
      </c>
      <c r="AC16" s="101"/>
      <c r="AD16" s="101"/>
      <c r="AE16" s="112">
        <f>SUM(AE8:AE14)</f>
        <v>0</v>
      </c>
      <c r="AF16" s="111">
        <f>SUM(AF8:AF14)</f>
        <v>0</v>
      </c>
      <c r="AG16"/>
      <c r="AH16"/>
      <c r="AI16"/>
      <c r="AJ16"/>
      <c r="AK16"/>
      <c r="AL16"/>
      <c r="AM16"/>
      <c r="AN16"/>
      <c r="AO16"/>
      <c r="AP16"/>
    </row>
    <row r="17" spans="1:44" ht="20.100000000000001" customHeight="1" thickTop="1" x14ac:dyDescent="0.25">
      <c r="A17" s="90" t="s">
        <v>5</v>
      </c>
      <c r="B17" s="91">
        <f>SUM(B7:B16)</f>
        <v>0</v>
      </c>
      <c r="C17" s="174" t="s">
        <v>64</v>
      </c>
      <c r="D17" s="175">
        <f>SUM(D12:D16)</f>
        <v>0</v>
      </c>
      <c r="E17" s="91">
        <f>B17-SUM(E13:E16)-(E40/2)</f>
        <v>0</v>
      </c>
      <c r="F17" s="30">
        <f>SUM(F7:F16)</f>
        <v>0</v>
      </c>
      <c r="G17" s="13" t="s">
        <v>65</v>
      </c>
      <c r="J17" s="107"/>
      <c r="K17" s="83"/>
      <c r="L17" s="83"/>
      <c r="N17" s="98"/>
      <c r="O17" s="167" t="s">
        <v>292</v>
      </c>
      <c r="P17" s="168"/>
      <c r="Q17" s="169">
        <f>E46</f>
        <v>0</v>
      </c>
      <c r="R17" s="170"/>
      <c r="S17" s="22"/>
      <c r="T17" t="s">
        <v>67</v>
      </c>
      <c r="U17" s="29">
        <f>1-U16</f>
        <v>4.9459999999999997</v>
      </c>
      <c r="AA17"/>
      <c r="AB17"/>
      <c r="AC17"/>
      <c r="AD17"/>
      <c r="AE17" s="6"/>
      <c r="AF17" s="6"/>
      <c r="AG17"/>
      <c r="AH17"/>
      <c r="AI17"/>
      <c r="AJ17"/>
      <c r="AK17"/>
      <c r="AL17"/>
      <c r="AM17"/>
      <c r="AN17"/>
      <c r="AO17"/>
      <c r="AP17"/>
    </row>
    <row r="18" spans="1:44" ht="20.100000000000001" customHeight="1" x14ac:dyDescent="0.25">
      <c r="A18" s="178"/>
      <c r="B18" s="179"/>
      <c r="C18" s="179"/>
      <c r="D18" s="179"/>
      <c r="E18" s="131"/>
      <c r="F18" s="31"/>
      <c r="N18" s="98"/>
      <c r="O18" s="32"/>
      <c r="P18" s="22"/>
      <c r="Q18" s="27"/>
      <c r="R18" s="27"/>
      <c r="S18" s="22"/>
      <c r="T18" t="s">
        <v>68</v>
      </c>
      <c r="U18" s="28">
        <f>MAX(0, MIN(1, U17))</f>
        <v>1</v>
      </c>
      <c r="AA18"/>
      <c r="AB18" s="1" t="s">
        <v>10</v>
      </c>
      <c r="AC18"/>
      <c r="AD18"/>
      <c r="AE18"/>
      <c r="AF18"/>
      <c r="AG18" s="12"/>
      <c r="AH18"/>
      <c r="AI18"/>
      <c r="AJ18"/>
      <c r="AK18"/>
      <c r="AL18"/>
      <c r="AM18"/>
      <c r="AN18"/>
      <c r="AO18"/>
      <c r="AP18"/>
    </row>
    <row r="19" spans="1:44" ht="20.100000000000001" customHeight="1" x14ac:dyDescent="0.25">
      <c r="A19" s="159" t="s">
        <v>69</v>
      </c>
      <c r="B19" s="180"/>
      <c r="C19" s="180"/>
      <c r="D19" s="160"/>
      <c r="E19" s="38">
        <f>IF(K20=150000, L24, IF(K20=75000, L20, 0))</f>
        <v>0</v>
      </c>
      <c r="F19" s="31"/>
      <c r="N19" s="98"/>
      <c r="O19" s="167" t="s">
        <v>70</v>
      </c>
      <c r="P19" s="168"/>
      <c r="Q19" s="169">
        <f>E50+E48</f>
        <v>0</v>
      </c>
      <c r="R19" s="170"/>
      <c r="S19" s="22"/>
      <c r="T19" s="22"/>
      <c r="U19" s="29">
        <f>D33</f>
        <v>0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4" ht="20.100000000000001" customHeight="1" x14ac:dyDescent="0.25">
      <c r="A20" s="33"/>
      <c r="B20" s="33"/>
      <c r="C20" s="33"/>
      <c r="D20" s="33"/>
      <c r="E20" s="33"/>
      <c r="F20" s="31"/>
      <c r="K20" s="13">
        <f>IF(E5="Single",75000,IF(E5="MFJ",150000,IF(E5="MFS",75000,IF(E5="HH",75000,13850))))</f>
        <v>150000</v>
      </c>
      <c r="L20" s="16">
        <f>IF(N3&gt;=65, N12009, 0)</f>
        <v>0</v>
      </c>
      <c r="N20" s="98"/>
      <c r="O20" s="32"/>
      <c r="P20" s="22"/>
      <c r="Q20" s="27"/>
      <c r="R20" s="27"/>
      <c r="S20" s="22"/>
      <c r="T20" s="22"/>
      <c r="U20" s="29">
        <f>U19*U18</f>
        <v>0</v>
      </c>
      <c r="AA20"/>
      <c r="AB20" s="2" t="s">
        <v>317</v>
      </c>
      <c r="AC20" s="11" t="s">
        <v>318</v>
      </c>
      <c r="AD20" s="11"/>
      <c r="AE20" s="11" t="s">
        <v>319</v>
      </c>
      <c r="AF20" s="11"/>
      <c r="AG20" s="11" t="s">
        <v>320</v>
      </c>
      <c r="AH20" s="11"/>
      <c r="AI20" s="11" t="s">
        <v>321</v>
      </c>
      <c r="AJ20" s="11"/>
      <c r="AK20" s="11" t="s">
        <v>9</v>
      </c>
      <c r="AL20"/>
      <c r="AM20"/>
      <c r="AN20"/>
      <c r="AO20"/>
      <c r="AP20"/>
    </row>
    <row r="21" spans="1:44" ht="20.100000000000001" customHeight="1" x14ac:dyDescent="0.35">
      <c r="A21" s="159" t="s">
        <v>71</v>
      </c>
      <c r="B21" s="180"/>
      <c r="C21" s="180"/>
      <c r="D21" s="160"/>
      <c r="E21" s="38">
        <f>IF(E17 &lt; K20, K24, 0)</f>
        <v>0</v>
      </c>
      <c r="F21" s="31"/>
      <c r="K21" s="13">
        <f>IF(N3&gt;=65, 6000, 0)</f>
        <v>0</v>
      </c>
      <c r="L21" s="16">
        <f>IF(N3&gt;=65, 1600, 0)</f>
        <v>0</v>
      </c>
      <c r="N21" s="98"/>
      <c r="O21" s="181" t="str">
        <f>IF(Q21&gt;0, "Tax Due", "Refund")</f>
        <v>Refund</v>
      </c>
      <c r="P21" s="182"/>
      <c r="Q21" s="183">
        <f>D52</f>
        <v>0</v>
      </c>
      <c r="R21" s="184"/>
      <c r="S21" s="22"/>
      <c r="T21" s="22"/>
      <c r="U21" s="22"/>
      <c r="AA21"/>
      <c r="AB21" s="4">
        <v>0.1</v>
      </c>
      <c r="AC21" s="114">
        <v>0</v>
      </c>
      <c r="AD21" s="114">
        <v>12400</v>
      </c>
      <c r="AE21" s="114">
        <v>0</v>
      </c>
      <c r="AF21" s="114">
        <v>24800</v>
      </c>
      <c r="AG21" s="114">
        <v>0</v>
      </c>
      <c r="AH21" s="114">
        <v>12400</v>
      </c>
      <c r="AI21" s="114">
        <v>0</v>
      </c>
      <c r="AJ21" s="114">
        <v>17700</v>
      </c>
      <c r="AK21" s="10">
        <v>2026</v>
      </c>
      <c r="AL21"/>
      <c r="AM21"/>
      <c r="AN21" s="2" t="s">
        <v>8</v>
      </c>
      <c r="AO21"/>
      <c r="AP21"/>
    </row>
    <row r="22" spans="1:44" ht="15.6" hidden="1" customHeight="1" x14ac:dyDescent="0.25">
      <c r="A22" s="34"/>
      <c r="B22" s="34"/>
      <c r="C22" s="34"/>
      <c r="D22" s="34"/>
      <c r="E22" s="34"/>
      <c r="F22" s="33"/>
      <c r="G22" s="13" t="s">
        <v>72</v>
      </c>
      <c r="K22" s="13">
        <f>IF(N4&gt;=65, 6000, 0)</f>
        <v>0</v>
      </c>
      <c r="L22" s="16">
        <f>IF(N4&gt;=65, 1600, 0)</f>
        <v>0</v>
      </c>
      <c r="N22" s="106"/>
      <c r="O22" s="22"/>
      <c r="P22" s="22"/>
      <c r="Q22" s="22"/>
      <c r="R22" s="22"/>
      <c r="S22" s="22"/>
      <c r="T22" s="22"/>
      <c r="U22" s="22"/>
      <c r="AA22"/>
      <c r="AB22" s="4">
        <v>0.12</v>
      </c>
      <c r="AC22" s="114">
        <v>12401</v>
      </c>
      <c r="AD22" s="114">
        <v>50400</v>
      </c>
      <c r="AE22" s="114">
        <v>24801</v>
      </c>
      <c r="AF22" s="114">
        <v>100800</v>
      </c>
      <c r="AG22" s="114">
        <v>12401</v>
      </c>
      <c r="AH22" s="114">
        <v>50400</v>
      </c>
      <c r="AI22" s="114">
        <v>17701</v>
      </c>
      <c r="AJ22" s="114">
        <v>67450</v>
      </c>
      <c r="AK22" s="10">
        <v>2026</v>
      </c>
      <c r="AL22"/>
      <c r="AM22"/>
      <c r="AN22" s="10" t="s">
        <v>66</v>
      </c>
      <c r="AO22"/>
      <c r="AP22"/>
    </row>
    <row r="23" spans="1:44" ht="15.6" customHeight="1" x14ac:dyDescent="0.25">
      <c r="A23" s="35" t="s">
        <v>14</v>
      </c>
      <c r="B23" s="35" t="s">
        <v>14</v>
      </c>
      <c r="C23" s="35" t="s">
        <v>14</v>
      </c>
      <c r="D23" s="35" t="s">
        <v>14</v>
      </c>
      <c r="E23" s="36"/>
      <c r="F23" s="33"/>
      <c r="M23" s="138">
        <f>MAX(E25, E24)</f>
        <v>31500</v>
      </c>
      <c r="N23" s="106"/>
      <c r="O23" s="22"/>
      <c r="P23" s="22"/>
      <c r="Q23" s="22"/>
      <c r="R23" s="22"/>
      <c r="S23" s="22"/>
      <c r="T23" s="22"/>
      <c r="U23" s="22"/>
      <c r="AA23"/>
      <c r="AB23" s="4">
        <v>0.22</v>
      </c>
      <c r="AC23" s="114">
        <v>50401</v>
      </c>
      <c r="AD23" s="114">
        <v>105700</v>
      </c>
      <c r="AE23" s="114">
        <v>100801</v>
      </c>
      <c r="AF23" s="114">
        <v>211400</v>
      </c>
      <c r="AG23" s="114">
        <v>50401</v>
      </c>
      <c r="AH23" s="114">
        <v>105700</v>
      </c>
      <c r="AI23" s="114">
        <v>67451</v>
      </c>
      <c r="AJ23" s="114">
        <v>105700</v>
      </c>
      <c r="AK23" s="10">
        <v>2026</v>
      </c>
      <c r="AL23"/>
      <c r="AM23"/>
      <c r="AN23" s="10" t="s">
        <v>21</v>
      </c>
      <c r="AO23"/>
      <c r="AP23"/>
    </row>
    <row r="24" spans="1:44" ht="15" customHeight="1" x14ac:dyDescent="0.25">
      <c r="A24" s="92" t="s">
        <v>73</v>
      </c>
      <c r="B24" s="92" t="s">
        <v>74</v>
      </c>
      <c r="C24" s="92" t="s">
        <v>75</v>
      </c>
      <c r="D24" s="92" t="s">
        <v>76</v>
      </c>
      <c r="E24" s="38" cm="1">
        <f t="array" ref="E24">_xlfn.XLOOKUP(E2,AT:AT,INDEX(AU:AX,,MATCH(E5,AU1:AX1,0)))+E19+E21</f>
        <v>31500</v>
      </c>
      <c r="F24" s="37">
        <f>IF(F5="Single",15750,IF(F5="MFJ",31500,IF(F5="MFS",15750,IF(F5="HH",23625,13850))))+F19+F21</f>
        <v>13850</v>
      </c>
      <c r="G24" s="37">
        <f>IF(G5="Single",15750,IF(G5="MFJ",31500,IF(G5="MFS",15750,IF(G5="HH",23625,13850))))+G19+G21</f>
        <v>13850</v>
      </c>
      <c r="H24" s="38">
        <f>IF(E5="Single",197300,IF(E5="MFJ",394600,IF(E5="MFS",197300,IF(E5="HH",197300,13850))))</f>
        <v>394600</v>
      </c>
      <c r="K24" s="13">
        <f>K21+K22</f>
        <v>0</v>
      </c>
      <c r="L24" s="16">
        <f>L22+L21</f>
        <v>0</v>
      </c>
      <c r="M24" s="138"/>
      <c r="N24" s="191" t="s">
        <v>322</v>
      </c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AA24"/>
      <c r="AB24" s="4">
        <v>0.24</v>
      </c>
      <c r="AC24" s="114">
        <v>105701</v>
      </c>
      <c r="AD24" s="114">
        <v>201775</v>
      </c>
      <c r="AE24" s="114">
        <v>211401</v>
      </c>
      <c r="AF24" s="114">
        <v>403550</v>
      </c>
      <c r="AG24" s="114">
        <v>105701</v>
      </c>
      <c r="AH24" s="114">
        <v>201775</v>
      </c>
      <c r="AI24" s="114">
        <v>105701</v>
      </c>
      <c r="AJ24" s="114">
        <v>201750</v>
      </c>
      <c r="AK24" s="10">
        <v>2026</v>
      </c>
      <c r="AL24"/>
      <c r="AM24"/>
      <c r="AN24" s="10" t="s">
        <v>92</v>
      </c>
      <c r="AO24"/>
      <c r="AP24"/>
    </row>
    <row r="25" spans="1:44" ht="15.6" customHeight="1" x14ac:dyDescent="0.25">
      <c r="A25" s="124"/>
      <c r="B25" s="124"/>
      <c r="C25" s="124"/>
      <c r="D25" s="133"/>
      <c r="E25" s="93">
        <f>M25+E21+E19</f>
        <v>0</v>
      </c>
      <c r="F25" s="39"/>
      <c r="G25" s="39"/>
      <c r="H25" s="40"/>
      <c r="M25" s="139">
        <f>MIN(M26, A25+D25)+B25+C25</f>
        <v>0</v>
      </c>
      <c r="N25" s="106"/>
      <c r="O25" s="149" t="s">
        <v>305</v>
      </c>
      <c r="P25" s="150"/>
      <c r="Q25" s="150"/>
      <c r="R25" s="151"/>
      <c r="S25"/>
      <c r="T25"/>
      <c r="U25"/>
      <c r="V25"/>
      <c r="W25"/>
      <c r="X25"/>
      <c r="Y25"/>
      <c r="AA25"/>
      <c r="AB25" s="4">
        <v>0.32</v>
      </c>
      <c r="AC25" s="114">
        <v>201776</v>
      </c>
      <c r="AD25" s="114">
        <v>256225</v>
      </c>
      <c r="AE25" s="114">
        <v>403551</v>
      </c>
      <c r="AF25" s="114">
        <v>512450</v>
      </c>
      <c r="AG25" s="114">
        <v>201776</v>
      </c>
      <c r="AH25" s="114">
        <v>256225</v>
      </c>
      <c r="AI25" s="114">
        <v>201751</v>
      </c>
      <c r="AJ25" s="114">
        <v>256200</v>
      </c>
      <c r="AK25" s="10">
        <v>2026</v>
      </c>
      <c r="AL25"/>
      <c r="AM25"/>
      <c r="AN25" s="10" t="s">
        <v>94</v>
      </c>
      <c r="AO25"/>
      <c r="AP25"/>
      <c r="AQ25" s="83"/>
    </row>
    <row r="26" spans="1:44" ht="15.6" customHeight="1" x14ac:dyDescent="0.25">
      <c r="A26" s="33"/>
      <c r="B26" s="41"/>
      <c r="C26" s="41"/>
      <c r="D26" s="33"/>
      <c r="E26" s="41"/>
      <c r="F26" s="41"/>
      <c r="G26" s="13" t="s">
        <v>77</v>
      </c>
      <c r="L26" s="16">
        <f>IF(K20=75000, L20, 0)</f>
        <v>0</v>
      </c>
      <c r="M26" s="16">
        <f>IF(E5="Single",40000,IF(E5="MFJ",40000,IF(E5="MFS",20000,IF(E5="HH",40000,0))))</f>
        <v>40000</v>
      </c>
      <c r="N26" s="98"/>
      <c r="O26" s="98"/>
      <c r="P26" s="98"/>
      <c r="Q26" s="98"/>
      <c r="R26" s="98"/>
      <c r="S26" s="22"/>
      <c r="T26" s="22"/>
      <c r="U26" s="22"/>
      <c r="AA26"/>
      <c r="AB26" s="4">
        <v>0.35</v>
      </c>
      <c r="AC26" s="114">
        <v>256226</v>
      </c>
      <c r="AD26" s="114">
        <v>640600</v>
      </c>
      <c r="AE26" s="114">
        <v>51245</v>
      </c>
      <c r="AF26" s="114">
        <v>768700</v>
      </c>
      <c r="AG26" s="114">
        <v>256226</v>
      </c>
      <c r="AH26" s="114">
        <v>640600</v>
      </c>
      <c r="AI26" s="114">
        <v>256201</v>
      </c>
      <c r="AJ26" s="114">
        <v>640600</v>
      </c>
      <c r="AK26" s="10">
        <v>2026</v>
      </c>
      <c r="AL26"/>
      <c r="AM26"/>
      <c r="AN26"/>
      <c r="AO26"/>
      <c r="AP26"/>
      <c r="AQ26" s="83"/>
    </row>
    <row r="27" spans="1:44" ht="15.6" customHeight="1" x14ac:dyDescent="0.25">
      <c r="A27" s="188" t="s">
        <v>78</v>
      </c>
      <c r="B27" s="189"/>
      <c r="C27" s="189"/>
      <c r="D27" s="126">
        <v>0</v>
      </c>
      <c r="E27" s="49">
        <f>MIN(E28, D27)</f>
        <v>0</v>
      </c>
      <c r="F27" s="42">
        <f>MIN(E27, D27)</f>
        <v>0</v>
      </c>
      <c r="H27">
        <f>U6</f>
        <v>394600</v>
      </c>
      <c r="N27" s="98"/>
      <c r="O27" s="146" t="str">
        <f>C17</f>
        <v>Adjusted Gross Income (AGI)</v>
      </c>
      <c r="P27" s="147"/>
      <c r="Q27" s="148"/>
      <c r="R27" s="102">
        <f>E17</f>
        <v>0</v>
      </c>
      <c r="S27" s="22"/>
      <c r="T27" s="22"/>
      <c r="U27" s="22"/>
      <c r="AA27"/>
      <c r="AB27" s="4">
        <v>0.37</v>
      </c>
      <c r="AC27" s="114">
        <v>640601</v>
      </c>
      <c r="AD27" s="115" t="s">
        <v>7</v>
      </c>
      <c r="AE27" s="114">
        <v>768701</v>
      </c>
      <c r="AF27" s="115" t="s">
        <v>7</v>
      </c>
      <c r="AG27" s="114">
        <v>640601</v>
      </c>
      <c r="AH27" s="115" t="s">
        <v>7</v>
      </c>
      <c r="AI27" s="114">
        <v>640601</v>
      </c>
      <c r="AJ27" s="115" t="s">
        <v>7</v>
      </c>
      <c r="AK27" s="10">
        <v>2026</v>
      </c>
      <c r="AL27"/>
      <c r="AM27"/>
      <c r="AN27"/>
      <c r="AO27"/>
      <c r="AP27"/>
      <c r="AQ27" s="83">
        <v>10927.2</v>
      </c>
      <c r="AR27" s="19">
        <f>(B7+B8)*0.0145</f>
        <v>0</v>
      </c>
    </row>
    <row r="28" spans="1:44" ht="15.6" customHeight="1" x14ac:dyDescent="0.25">
      <c r="A28" s="33"/>
      <c r="B28" s="41"/>
      <c r="C28" s="41"/>
      <c r="D28" s="33"/>
      <c r="E28" s="130">
        <f>MAX(0, H29 - (TRUNC(MAX(0, E17 - H28) / 1000, 0) * 100))</f>
        <v>25000</v>
      </c>
      <c r="F28" s="41"/>
      <c r="H28">
        <f>IF(E5="Single",150000,IF(E5="MFJ",300000,IF(E5="MFS",150000,IF(E5="HH",150000,13850))))</f>
        <v>300000</v>
      </c>
      <c r="N28" s="98"/>
      <c r="O28" s="146" t="s">
        <v>298</v>
      </c>
      <c r="P28" s="147"/>
      <c r="Q28" s="148"/>
      <c r="R28" s="102">
        <f>MIN(AQ27,AQ28)+MIN(AQ27,AR28)</f>
        <v>0</v>
      </c>
      <c r="S28" s="22"/>
      <c r="T28" s="22"/>
      <c r="U28" s="22"/>
      <c r="AA28"/>
      <c r="AB28" s="4">
        <v>0.1</v>
      </c>
      <c r="AC28" s="114">
        <v>0</v>
      </c>
      <c r="AD28" s="114">
        <v>11925</v>
      </c>
      <c r="AE28" s="114">
        <v>0</v>
      </c>
      <c r="AF28" s="114">
        <v>23850</v>
      </c>
      <c r="AG28" s="114">
        <v>0</v>
      </c>
      <c r="AH28" s="114">
        <v>11925</v>
      </c>
      <c r="AI28" s="114">
        <v>0</v>
      </c>
      <c r="AJ28" s="114">
        <v>17000</v>
      </c>
      <c r="AK28" s="10">
        <v>2025</v>
      </c>
      <c r="AL28"/>
      <c r="AM28"/>
      <c r="AN28"/>
      <c r="AO28"/>
      <c r="AP28"/>
      <c r="AQ28" s="99">
        <f>B7*0.062</f>
        <v>0</v>
      </c>
      <c r="AR28" s="19">
        <f>B8*0.062</f>
        <v>0</v>
      </c>
    </row>
    <row r="29" spans="1:44" ht="15.6" customHeight="1" x14ac:dyDescent="0.25">
      <c r="A29" s="188" t="s">
        <v>79</v>
      </c>
      <c r="B29" s="189"/>
      <c r="C29" s="189"/>
      <c r="D29" s="126">
        <v>0</v>
      </c>
      <c r="E29" s="49">
        <f>MIN(E30, D29)</f>
        <v>0</v>
      </c>
      <c r="F29" s="42">
        <f>MIN(E29, D29)</f>
        <v>0</v>
      </c>
      <c r="H29">
        <f>IF(E5="Single",12500,IF(E5="MFJ",25000,IF(E5="MFS",12500,IF(E5="HH",12500,13850))))</f>
        <v>25000</v>
      </c>
      <c r="N29" s="98"/>
      <c r="O29" s="146" t="s">
        <v>299</v>
      </c>
      <c r="P29" s="147"/>
      <c r="Q29" s="148"/>
      <c r="R29" s="125"/>
      <c r="S29" s="22"/>
      <c r="T29" s="22"/>
      <c r="U29" s="22"/>
      <c r="AA29"/>
      <c r="AB29" s="4">
        <v>0.12</v>
      </c>
      <c r="AC29" s="114">
        <v>11926</v>
      </c>
      <c r="AD29" s="114">
        <v>48475</v>
      </c>
      <c r="AE29" s="114">
        <v>23851</v>
      </c>
      <c r="AF29" s="114">
        <v>96950</v>
      </c>
      <c r="AG29" s="114">
        <v>11926</v>
      </c>
      <c r="AH29" s="114">
        <v>48475</v>
      </c>
      <c r="AI29" s="114">
        <v>17001</v>
      </c>
      <c r="AJ29" s="114">
        <v>64850</v>
      </c>
      <c r="AK29" s="10">
        <v>2025</v>
      </c>
      <c r="AL29"/>
      <c r="AM29"/>
      <c r="AN29"/>
      <c r="AO29"/>
      <c r="AP29"/>
      <c r="AQ29" s="83"/>
    </row>
    <row r="30" spans="1:44" ht="15.6" customHeight="1" x14ac:dyDescent="0.25">
      <c r="A30" s="33"/>
      <c r="B30" s="41"/>
      <c r="C30" s="41"/>
      <c r="D30" s="33"/>
      <c r="E30" s="43">
        <f>MAX(0, 25000 - (TRUNC(MAX(0, E17 - H30) / 1000, 0) * 100))</f>
        <v>25000</v>
      </c>
      <c r="F30" s="41"/>
      <c r="H30" s="44">
        <f>IF(E5="Single",150000,IF(E5="MFJ",300000,IF(E5="MFS",150000,IF(E5="HH",150000,13850))))</f>
        <v>300000</v>
      </c>
      <c r="N30" s="98"/>
      <c r="O30" s="146" t="s">
        <v>304</v>
      </c>
      <c r="P30" s="147"/>
      <c r="Q30" s="148"/>
      <c r="R30" s="102">
        <f>E44</f>
        <v>0</v>
      </c>
      <c r="S30" s="22"/>
      <c r="T30" s="22"/>
      <c r="U30" s="22"/>
      <c r="AA30"/>
      <c r="AB30" s="4">
        <v>0.22</v>
      </c>
      <c r="AC30" s="114">
        <v>48476</v>
      </c>
      <c r="AD30" s="114">
        <v>103350</v>
      </c>
      <c r="AE30" s="114">
        <v>96951</v>
      </c>
      <c r="AF30" s="114">
        <v>206700</v>
      </c>
      <c r="AG30" s="114">
        <v>48476</v>
      </c>
      <c r="AH30" s="114">
        <v>103350</v>
      </c>
      <c r="AI30" s="114">
        <v>64851</v>
      </c>
      <c r="AJ30" s="114">
        <v>103350</v>
      </c>
      <c r="AK30" s="10">
        <v>2025</v>
      </c>
      <c r="AL30"/>
      <c r="AM30"/>
      <c r="AN30"/>
      <c r="AO30"/>
      <c r="AP30"/>
      <c r="AQ30" s="83"/>
    </row>
    <row r="31" spans="1:44" ht="15.6" customHeight="1" x14ac:dyDescent="0.25">
      <c r="A31" s="188" t="s">
        <v>283</v>
      </c>
      <c r="B31" s="189"/>
      <c r="C31" s="189"/>
      <c r="D31" s="126">
        <v>0</v>
      </c>
      <c r="E31" s="49">
        <f>MIN(E32, D31)</f>
        <v>0</v>
      </c>
      <c r="F31" s="42">
        <f>MIN(E31, D31)</f>
        <v>0</v>
      </c>
      <c r="H31">
        <v>10000</v>
      </c>
      <c r="N31" s="98"/>
      <c r="O31" s="146" t="s">
        <v>309</v>
      </c>
      <c r="P31" s="147"/>
      <c r="Q31" s="148"/>
      <c r="R31" s="102">
        <f>R27-SUM(R28:R30)</f>
        <v>0</v>
      </c>
      <c r="S31" s="22"/>
      <c r="T31" s="22"/>
      <c r="U31" s="22"/>
      <c r="AA31"/>
      <c r="AB31" s="4">
        <v>0.24</v>
      </c>
      <c r="AC31" s="114">
        <v>103351</v>
      </c>
      <c r="AD31" s="114">
        <v>197300</v>
      </c>
      <c r="AE31" s="114">
        <v>206701</v>
      </c>
      <c r="AF31" s="114">
        <v>394600</v>
      </c>
      <c r="AG31" s="114">
        <v>103351</v>
      </c>
      <c r="AH31" s="114">
        <v>197300</v>
      </c>
      <c r="AI31" s="114">
        <v>103351</v>
      </c>
      <c r="AJ31" s="114">
        <v>197300</v>
      </c>
      <c r="AK31" s="10">
        <v>2025</v>
      </c>
      <c r="AL31"/>
      <c r="AM31"/>
      <c r="AN31"/>
      <c r="AO31"/>
      <c r="AP31"/>
      <c r="AQ31" s="83"/>
    </row>
    <row r="32" spans="1:44" ht="15.6" customHeight="1" x14ac:dyDescent="0.25">
      <c r="A32" s="33"/>
      <c r="B32" s="41"/>
      <c r="C32" s="41"/>
      <c r="D32" s="33"/>
      <c r="E32" s="43">
        <f>MAX(0, H31- (MAX(0, E17 - H32) * 0.2))</f>
        <v>10000</v>
      </c>
      <c r="F32" s="41"/>
      <c r="H32">
        <f>IF(E5="Single",100000,IF(E5="MFJ",200000,IF(E5="MFS",100000,IF(E5="HH",100000,13850))))</f>
        <v>200000</v>
      </c>
      <c r="N32" s="98"/>
      <c r="S32" s="22"/>
      <c r="T32" s="22"/>
      <c r="U32" s="22"/>
      <c r="AA32"/>
      <c r="AB32" s="4">
        <v>0.32</v>
      </c>
      <c r="AC32" s="114">
        <v>197301</v>
      </c>
      <c r="AD32" s="114">
        <v>250525</v>
      </c>
      <c r="AE32" s="114">
        <v>394601</v>
      </c>
      <c r="AF32" s="114">
        <v>500050</v>
      </c>
      <c r="AG32" s="114">
        <v>197301</v>
      </c>
      <c r="AH32" s="114">
        <v>250525</v>
      </c>
      <c r="AI32" s="114">
        <v>197301</v>
      </c>
      <c r="AJ32" s="114">
        <v>250500</v>
      </c>
      <c r="AK32" s="10">
        <v>2025</v>
      </c>
      <c r="AL32"/>
      <c r="AM32"/>
      <c r="AN32"/>
      <c r="AO32"/>
      <c r="AP32"/>
      <c r="AQ32" s="83"/>
    </row>
    <row r="33" spans="1:43" ht="15.6" customHeight="1" x14ac:dyDescent="0.25">
      <c r="A33" s="188" t="s">
        <v>80</v>
      </c>
      <c r="B33" s="189"/>
      <c r="C33" s="189"/>
      <c r="D33" s="45">
        <f>((B14+B15+B16)*0.2)</f>
        <v>0</v>
      </c>
      <c r="E33" s="49">
        <f>IF(E17 &lt; H24, D33, U20)</f>
        <v>0</v>
      </c>
      <c r="F33" s="42">
        <f>E33*G5</f>
        <v>0</v>
      </c>
      <c r="G33" s="13" t="s">
        <v>22</v>
      </c>
      <c r="L33" s="16">
        <f>IF(K20=150000, L24, 0)</f>
        <v>0</v>
      </c>
      <c r="N33" s="106"/>
      <c r="O33" s="149" t="s">
        <v>302</v>
      </c>
      <c r="P33" s="150"/>
      <c r="Q33" s="150"/>
      <c r="R33" s="151"/>
      <c r="S33" s="22"/>
      <c r="T33" s="22"/>
      <c r="U33" s="22"/>
      <c r="AA33"/>
      <c r="AB33" s="4">
        <v>0.35</v>
      </c>
      <c r="AC33" s="114">
        <v>250526</v>
      </c>
      <c r="AD33" s="114">
        <v>626350</v>
      </c>
      <c r="AE33" s="114">
        <v>501051</v>
      </c>
      <c r="AF33" s="114">
        <v>751600</v>
      </c>
      <c r="AG33" s="114">
        <v>250526</v>
      </c>
      <c r="AH33" s="114">
        <v>626350</v>
      </c>
      <c r="AI33" s="114">
        <v>250501</v>
      </c>
      <c r="AJ33" s="114">
        <v>626350</v>
      </c>
      <c r="AK33" s="10">
        <v>2025</v>
      </c>
      <c r="AL33"/>
      <c r="AM33"/>
      <c r="AN33"/>
      <c r="AO33"/>
      <c r="AP33"/>
      <c r="AQ33" s="83"/>
    </row>
    <row r="34" spans="1:43" ht="15.6" customHeight="1" x14ac:dyDescent="0.25">
      <c r="A34" s="33"/>
      <c r="B34" s="41"/>
      <c r="C34" s="41"/>
      <c r="D34" s="33"/>
      <c r="E34" s="41"/>
      <c r="F34" s="41"/>
      <c r="G34" s="13" t="s">
        <v>81</v>
      </c>
      <c r="H34">
        <f>IF(E5="Single",48350,IF(E5="MFJ",96700,IF(E5="MFS",48350,IF(E5="HH",64750,13850))))</f>
        <v>96700</v>
      </c>
      <c r="I34">
        <f>IF(E17 &gt; H34, 0.15, 0)</f>
        <v>0</v>
      </c>
      <c r="N34" s="106"/>
      <c r="O34" s="143" t="s">
        <v>293</v>
      </c>
      <c r="P34" s="144"/>
      <c r="Q34" s="145"/>
      <c r="R34" s="125"/>
      <c r="S34" s="22"/>
      <c r="T34" s="22"/>
      <c r="U34" s="22"/>
      <c r="AA34"/>
      <c r="AB34" s="4">
        <v>0.37</v>
      </c>
      <c r="AC34" s="114">
        <v>626350</v>
      </c>
      <c r="AD34" s="115" t="s">
        <v>7</v>
      </c>
      <c r="AE34" s="114">
        <v>751600</v>
      </c>
      <c r="AF34" s="115" t="s">
        <v>7</v>
      </c>
      <c r="AG34" s="114">
        <v>626350</v>
      </c>
      <c r="AH34" s="115" t="s">
        <v>7</v>
      </c>
      <c r="AI34" s="114">
        <v>626351</v>
      </c>
      <c r="AJ34" s="115" t="s">
        <v>7</v>
      </c>
      <c r="AK34" s="10">
        <v>2025</v>
      </c>
      <c r="AL34"/>
      <c r="AM34"/>
      <c r="AN34"/>
      <c r="AO34"/>
      <c r="AP34"/>
      <c r="AQ34" s="83"/>
    </row>
    <row r="35" spans="1:43" ht="15.6" customHeight="1" x14ac:dyDescent="0.25">
      <c r="A35" s="159" t="s">
        <v>82</v>
      </c>
      <c r="B35" s="180"/>
      <c r="C35" s="180"/>
      <c r="D35" s="160"/>
      <c r="E35" s="49">
        <f>E17-M23-E27-E29-E31-B13-(E40/2)</f>
        <v>-31500</v>
      </c>
      <c r="F35" s="46">
        <f>F17-F24-F33-E11-E12-E14</f>
        <v>-13850</v>
      </c>
      <c r="G35" s="13" t="s">
        <v>83</v>
      </c>
      <c r="H35">
        <f>IF(E5="Single",533400,IF(E5="MFJ",600050,IF(E5="MFS",300000,IF(E5="HH",566700,13850))))</f>
        <v>600050</v>
      </c>
      <c r="I35">
        <f>IF(E17 &gt; H35, 0.05, 0)</f>
        <v>0</v>
      </c>
      <c r="O35" s="143" t="s">
        <v>294</v>
      </c>
      <c r="P35" s="144"/>
      <c r="Q35" s="145"/>
      <c r="R35" s="125"/>
      <c r="S35" s="22"/>
      <c r="T35" s="22"/>
      <c r="U35" s="22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3" ht="15.6" customHeight="1" x14ac:dyDescent="0.25">
      <c r="A36" s="33"/>
      <c r="B36" s="41"/>
      <c r="C36" s="41"/>
      <c r="D36" s="33"/>
      <c r="E36" s="33"/>
      <c r="F36" s="33"/>
      <c r="G36" s="13" t="s">
        <v>84</v>
      </c>
      <c r="N36" s="98"/>
      <c r="O36" s="143" t="s">
        <v>310</v>
      </c>
      <c r="P36" s="144"/>
      <c r="Q36" s="145"/>
      <c r="R36" s="125"/>
      <c r="S36" s="22"/>
      <c r="T36" s="22"/>
      <c r="U36" s="22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3" ht="15.6" customHeight="1" x14ac:dyDescent="0.25">
      <c r="A37" s="188" t="s">
        <v>85</v>
      </c>
      <c r="B37" s="189"/>
      <c r="C37" s="47">
        <v>0</v>
      </c>
      <c r="D37" s="48">
        <f>(B13*I34)+(B13*I35)</f>
        <v>0</v>
      </c>
      <c r="E37" s="49">
        <f>MAX(D37,C37)</f>
        <v>0</v>
      </c>
      <c r="F37" s="49">
        <f>E37</f>
        <v>0</v>
      </c>
      <c r="G37" s="13" t="s">
        <v>86</v>
      </c>
      <c r="N37" s="106"/>
      <c r="O37" s="143" t="s">
        <v>295</v>
      </c>
      <c r="P37" s="144"/>
      <c r="Q37" s="145"/>
      <c r="R37" s="125"/>
      <c r="S37" s="22"/>
      <c r="T37" s="22"/>
      <c r="U37" s="22"/>
    </row>
    <row r="38" spans="1:43" ht="15.6" hidden="1" customHeight="1" x14ac:dyDescent="0.25">
      <c r="A38" s="134">
        <f>IF(E2=2025, 176100, IF(E2=2026, 184500, ""))</f>
        <v>176100</v>
      </c>
      <c r="B38" s="51">
        <f>B15*0.9235</f>
        <v>0</v>
      </c>
      <c r="C38" s="135">
        <f>B38*0.124</f>
        <v>0</v>
      </c>
      <c r="D38" s="136">
        <f>($A$38-B7-E11)*0.124</f>
        <v>21836.400000000001</v>
      </c>
      <c r="E38" s="52"/>
      <c r="F38" s="53"/>
      <c r="G38" s="13" t="s">
        <v>87</v>
      </c>
      <c r="N38" s="98"/>
      <c r="O38" s="143" t="s">
        <v>296</v>
      </c>
      <c r="P38" s="144"/>
      <c r="Q38" s="145"/>
      <c r="R38" s="125"/>
      <c r="S38" s="22"/>
      <c r="T38" s="22"/>
      <c r="U38" s="22"/>
    </row>
    <row r="39" spans="1:43" ht="15.6" customHeight="1" x14ac:dyDescent="0.25">
      <c r="A39" s="50"/>
      <c r="B39" s="51">
        <f>B16*0.9235</f>
        <v>0</v>
      </c>
      <c r="C39" s="54">
        <f>B39*0.124</f>
        <v>0</v>
      </c>
      <c r="D39" s="55">
        <f>($A$38-B8-E12)*0.124</f>
        <v>21836.400000000001</v>
      </c>
      <c r="E39" s="52">
        <f>IF(C40&lt;0, 0, C40)</f>
        <v>0</v>
      </c>
      <c r="F39" s="53"/>
      <c r="N39" s="98"/>
      <c r="O39" s="143" t="s">
        <v>297</v>
      </c>
      <c r="P39" s="144"/>
      <c r="Q39" s="145"/>
      <c r="R39" s="125"/>
      <c r="S39" s="22"/>
      <c r="T39" s="22"/>
      <c r="U39" s="22"/>
    </row>
    <row r="40" spans="1:43" ht="15.6" customHeight="1" x14ac:dyDescent="0.25">
      <c r="A40" s="188" t="s">
        <v>323</v>
      </c>
      <c r="B40" s="189"/>
      <c r="C40" s="56">
        <f>MIN(C38,D38)+MIN(C39,D39)</f>
        <v>0</v>
      </c>
      <c r="D40" s="137">
        <f>(B38+B39)*0.029</f>
        <v>0</v>
      </c>
      <c r="E40" s="49">
        <f>D40+E39+K15</f>
        <v>0</v>
      </c>
      <c r="F40" s="49">
        <f>E40</f>
        <v>0</v>
      </c>
      <c r="G40" s="13" t="s">
        <v>88</v>
      </c>
      <c r="K40" s="19"/>
      <c r="N40" s="106"/>
      <c r="O40" s="143" t="s">
        <v>303</v>
      </c>
      <c r="P40" s="144"/>
      <c r="Q40" s="145"/>
      <c r="R40" s="125"/>
      <c r="S40" s="22"/>
      <c r="T40" s="22"/>
      <c r="U40" s="22"/>
    </row>
    <row r="41" spans="1:43" ht="15.6" customHeight="1" x14ac:dyDescent="0.25">
      <c r="A41" s="50"/>
      <c r="B41" s="50"/>
      <c r="C41" s="50"/>
      <c r="D41" s="50"/>
      <c r="E41" s="57">
        <f>IF(E17 &gt; H42, D42, 0)</f>
        <v>0</v>
      </c>
      <c r="F41" s="58"/>
      <c r="G41" s="13" t="s">
        <v>89</v>
      </c>
      <c r="N41" s="98"/>
      <c r="O41" s="143" t="s">
        <v>300</v>
      </c>
      <c r="P41" s="144"/>
      <c r="Q41" s="145"/>
      <c r="R41" s="125"/>
      <c r="S41" s="22"/>
      <c r="T41" s="22"/>
      <c r="U41" s="22"/>
    </row>
    <row r="42" spans="1:43" ht="15.6" customHeight="1" x14ac:dyDescent="0.25">
      <c r="A42" s="188" t="s">
        <v>90</v>
      </c>
      <c r="B42" s="189"/>
      <c r="C42" s="189"/>
      <c r="D42" s="59">
        <f>(B9+B11+B12+B13)*0.038</f>
        <v>0</v>
      </c>
      <c r="E42" s="49">
        <f>IF(E17&lt;0,E41,0)</f>
        <v>0</v>
      </c>
      <c r="F42" s="49">
        <f>E42</f>
        <v>0</v>
      </c>
      <c r="H42">
        <f>IF(E5="Single",200000,IF(E5="MFJ",250000,IF(E5="MFS",200000,IF(E5="HH",200000,13850))))</f>
        <v>250000</v>
      </c>
      <c r="O42" s="143" t="s">
        <v>301</v>
      </c>
      <c r="P42" s="144"/>
      <c r="Q42" s="145"/>
      <c r="R42" s="125"/>
      <c r="S42" s="22"/>
      <c r="T42" s="22"/>
      <c r="U42" s="22"/>
    </row>
    <row r="43" spans="1:43" ht="15.6" customHeight="1" x14ac:dyDescent="0.25">
      <c r="A43" s="60"/>
      <c r="B43" s="60"/>
      <c r="C43" s="60"/>
      <c r="D43" s="60"/>
      <c r="E43" s="61"/>
      <c r="F43" s="61"/>
      <c r="O43" s="143" t="s">
        <v>296</v>
      </c>
      <c r="P43" s="144"/>
      <c r="Q43" s="145"/>
      <c r="R43" s="125"/>
      <c r="S43" s="22"/>
      <c r="T43" s="22"/>
      <c r="U43" s="22"/>
    </row>
    <row r="44" spans="1:43" ht="15.6" customHeight="1" x14ac:dyDescent="0.25">
      <c r="A44" s="185" t="s">
        <v>288</v>
      </c>
      <c r="B44" s="186"/>
      <c r="C44" s="186"/>
      <c r="D44" s="187"/>
      <c r="E44" s="94">
        <f>AI8+E37+E40+E42</f>
        <v>0</v>
      </c>
      <c r="F44" s="62" t="e">
        <f>#REF!+F37+F40+F42</f>
        <v>#REF!</v>
      </c>
      <c r="O44" s="143"/>
      <c r="P44" s="144"/>
      <c r="Q44" s="145"/>
      <c r="R44" s="125"/>
      <c r="S44" s="22"/>
      <c r="T44" s="22"/>
      <c r="U44" s="22"/>
    </row>
    <row r="45" spans="1:43" ht="15.6" customHeight="1" x14ac:dyDescent="0.25">
      <c r="A45" s="60"/>
      <c r="B45" s="60"/>
      <c r="C45" s="60"/>
      <c r="D45" s="60"/>
      <c r="E45" s="61"/>
      <c r="F45" s="61"/>
      <c r="N45" s="106" t="s">
        <v>14</v>
      </c>
      <c r="O45" s="143"/>
      <c r="P45" s="144"/>
      <c r="Q45" s="145"/>
      <c r="R45" s="125"/>
      <c r="S45" s="22"/>
      <c r="T45" s="22"/>
      <c r="U45" s="22"/>
    </row>
    <row r="46" spans="1:43" ht="15.6" customHeight="1" x14ac:dyDescent="0.25">
      <c r="A46" s="188" t="s">
        <v>284</v>
      </c>
      <c r="B46" s="189"/>
      <c r="C46" s="189"/>
      <c r="D46" s="190"/>
      <c r="E46" s="49">
        <f>SUM(E7:E10)</f>
        <v>0</v>
      </c>
      <c r="F46" s="49">
        <f>D17</f>
        <v>0</v>
      </c>
      <c r="N46" s="98"/>
      <c r="O46" s="143"/>
      <c r="P46" s="144"/>
      <c r="Q46" s="145"/>
      <c r="R46" s="125"/>
      <c r="S46" s="22"/>
      <c r="T46" s="22"/>
      <c r="U46" s="22"/>
    </row>
    <row r="47" spans="1:43" ht="15.6" customHeight="1" x14ac:dyDescent="0.25">
      <c r="A47" s="60"/>
      <c r="B47" s="60"/>
      <c r="C47" s="60"/>
      <c r="D47" s="60"/>
      <c r="E47" s="63"/>
      <c r="F47" s="63"/>
      <c r="K47" s="13">
        <f>IF(E5="Single",200000,IF(E5="MFJ",400000,IF(E5="MFS",200000,IF(E5="HH",200000,13850))))</f>
        <v>400000</v>
      </c>
      <c r="L47" s="16">
        <f>IF(E17&lt;K47, K48, 0)</f>
        <v>0</v>
      </c>
      <c r="N47" s="98"/>
      <c r="O47" s="143"/>
      <c r="P47" s="144"/>
      <c r="Q47" s="145"/>
      <c r="R47" s="125"/>
      <c r="S47" s="22"/>
      <c r="T47" s="22"/>
      <c r="U47" s="22"/>
    </row>
    <row r="48" spans="1:43" ht="15.6" customHeight="1" x14ac:dyDescent="0.25">
      <c r="A48" s="188" t="s">
        <v>285</v>
      </c>
      <c r="B48" s="189"/>
      <c r="C48" s="189"/>
      <c r="D48" s="190"/>
      <c r="E48" s="127">
        <f>L47</f>
        <v>0</v>
      </c>
      <c r="F48" s="63"/>
      <c r="K48" s="13">
        <f>E3*2200+E4*500</f>
        <v>0</v>
      </c>
      <c r="L48" s="16">
        <v>0</v>
      </c>
      <c r="N48" s="98"/>
      <c r="P48" s="23"/>
      <c r="Q48" s="23"/>
      <c r="R48" s="22"/>
      <c r="S48" s="22"/>
      <c r="T48" s="22"/>
      <c r="U48" s="22"/>
    </row>
    <row r="49" spans="1:24" ht="15.6" customHeight="1" x14ac:dyDescent="0.25">
      <c r="A49" s="60"/>
      <c r="B49" s="60"/>
      <c r="C49" s="60"/>
      <c r="D49" s="60"/>
      <c r="E49" s="63"/>
      <c r="F49" s="63"/>
      <c r="N49" s="98"/>
      <c r="O49" s="140" t="s">
        <v>311</v>
      </c>
      <c r="P49" s="141"/>
      <c r="Q49" s="142"/>
      <c r="R49" s="103">
        <f>R31-SUM(R34:R47)</f>
        <v>0</v>
      </c>
      <c r="S49" s="22"/>
      <c r="T49" s="22"/>
      <c r="U49" s="22"/>
    </row>
    <row r="50" spans="1:24" ht="15.6" customHeight="1" x14ac:dyDescent="0.25">
      <c r="A50" s="188" t="s">
        <v>91</v>
      </c>
      <c r="B50" s="189"/>
      <c r="C50" s="189"/>
      <c r="D50" s="190"/>
      <c r="E50" s="127"/>
      <c r="F50" s="64">
        <v>0</v>
      </c>
      <c r="N50" s="106"/>
      <c r="O50" s="98"/>
      <c r="P50" s="98"/>
      <c r="Q50" s="98"/>
      <c r="R50" s="98"/>
      <c r="S50" s="98"/>
      <c r="T50" s="98"/>
      <c r="U50" s="98"/>
      <c r="V50" s="83"/>
      <c r="W50" s="83"/>
      <c r="X50" s="83"/>
    </row>
    <row r="51" spans="1:24" ht="15.6" customHeight="1" thickBot="1" x14ac:dyDescent="0.3">
      <c r="A51" s="60"/>
      <c r="B51" s="60"/>
      <c r="C51" s="60"/>
      <c r="D51" s="60"/>
      <c r="E51" s="60"/>
      <c r="F51" s="60"/>
      <c r="N51" s="106"/>
      <c r="O51" s="98" t="s">
        <v>14</v>
      </c>
      <c r="P51" s="106"/>
      <c r="Q51" s="106"/>
      <c r="R51" s="98"/>
      <c r="S51" s="98"/>
      <c r="T51" s="98"/>
      <c r="U51" s="98"/>
      <c r="V51" s="83"/>
      <c r="W51" s="83"/>
      <c r="X51" s="83"/>
    </row>
    <row r="52" spans="1:24" ht="15.6" customHeight="1" thickTop="1" x14ac:dyDescent="0.25">
      <c r="A52" s="193" t="s">
        <v>286</v>
      </c>
      <c r="B52" s="194"/>
      <c r="C52" s="194"/>
      <c r="D52" s="104">
        <f>E44-E46-E48-E50</f>
        <v>0</v>
      </c>
      <c r="E52" s="95">
        <f>IF(D52 &gt; 0, D52, 0)</f>
        <v>0</v>
      </c>
      <c r="F52" s="65">
        <f>IF(E52 &gt; 0, E52, 0)</f>
        <v>0</v>
      </c>
      <c r="O52" s="83"/>
      <c r="P52" s="106"/>
      <c r="Q52" s="98"/>
      <c r="R52" s="98"/>
      <c r="S52" s="98"/>
      <c r="T52" s="98"/>
      <c r="U52" s="98"/>
      <c r="V52" s="83"/>
      <c r="W52" s="83"/>
      <c r="X52" s="83"/>
    </row>
    <row r="53" spans="1:24" ht="15.6" customHeight="1" thickBot="1" x14ac:dyDescent="0.3">
      <c r="N53" s="106" t="s">
        <v>14</v>
      </c>
      <c r="O53" s="98"/>
      <c r="P53" s="98"/>
      <c r="Q53" s="98"/>
      <c r="R53" s="98"/>
      <c r="S53" s="98"/>
      <c r="T53" s="98"/>
      <c r="U53" s="107"/>
      <c r="V53" s="107"/>
      <c r="W53" s="107"/>
      <c r="X53" s="107"/>
    </row>
    <row r="54" spans="1:24" ht="15.6" customHeight="1" thickTop="1" x14ac:dyDescent="0.25">
      <c r="A54" s="195" t="s">
        <v>287</v>
      </c>
      <c r="B54" s="196"/>
      <c r="C54" s="196"/>
      <c r="D54" s="197"/>
      <c r="E54" s="96">
        <f>E52*1.05</f>
        <v>0</v>
      </c>
      <c r="F54" s="66">
        <f>F52*1.1</f>
        <v>0</v>
      </c>
      <c r="N54" s="106" t="s">
        <v>14</v>
      </c>
      <c r="O54" s="98"/>
      <c r="P54" s="98"/>
      <c r="Q54" s="98"/>
      <c r="R54" s="98"/>
      <c r="S54" s="98"/>
      <c r="T54" s="98"/>
      <c r="U54" s="107"/>
      <c r="V54" s="107"/>
      <c r="W54" s="107"/>
      <c r="X54" s="107"/>
    </row>
    <row r="55" spans="1:24" ht="15.6" customHeight="1" x14ac:dyDescent="0.25">
      <c r="O55" s="83"/>
      <c r="P55" s="83"/>
      <c r="Q55" s="83"/>
      <c r="R55" s="83"/>
      <c r="S55" s="83"/>
      <c r="T55" s="83"/>
      <c r="U55" s="83"/>
      <c r="V55" s="83"/>
      <c r="W55" s="83"/>
      <c r="X55" s="83"/>
    </row>
    <row r="56" spans="1:24" ht="15.6" customHeight="1" x14ac:dyDescent="0.25">
      <c r="A56" s="97" t="s">
        <v>54</v>
      </c>
      <c r="B56" s="67">
        <f>AI9</f>
        <v>0.1</v>
      </c>
      <c r="C56" s="149" t="s">
        <v>93</v>
      </c>
      <c r="D56" s="151"/>
      <c r="E56" s="67">
        <f>E44/E35</f>
        <v>0</v>
      </c>
      <c r="F56" s="67" t="e">
        <f>F44/F17</f>
        <v>#REF!</v>
      </c>
      <c r="G56" s="68">
        <f>B56</f>
        <v>0.1</v>
      </c>
      <c r="O56" s="98"/>
      <c r="P56" s="98"/>
      <c r="Q56" s="98"/>
      <c r="R56" s="83"/>
      <c r="S56" s="83"/>
      <c r="T56" s="83"/>
      <c r="U56" s="83"/>
      <c r="V56" s="83"/>
      <c r="W56" s="83"/>
      <c r="X56" s="83"/>
    </row>
    <row r="57" spans="1:24" x14ac:dyDescent="0.25">
      <c r="A57" s="13"/>
      <c r="B57" s="13"/>
      <c r="C57" s="13"/>
      <c r="D57" s="13"/>
      <c r="E57" s="13"/>
      <c r="F57" s="13"/>
      <c r="O57" s="98"/>
      <c r="P57" s="98"/>
      <c r="Q57" s="98"/>
      <c r="R57" s="83"/>
      <c r="S57" s="83"/>
      <c r="T57" s="83"/>
      <c r="U57" s="83"/>
      <c r="V57" s="83"/>
      <c r="W57" s="83"/>
      <c r="X57" s="83"/>
    </row>
    <row r="58" spans="1:24" x14ac:dyDescent="0.25">
      <c r="A58" s="13"/>
      <c r="B58" s="13"/>
      <c r="C58" s="13"/>
      <c r="D58" s="13"/>
      <c r="E58" s="13"/>
      <c r="F58" s="13"/>
      <c r="N58" s="98"/>
      <c r="O58" s="98"/>
      <c r="P58" s="98"/>
      <c r="Q58" s="83"/>
      <c r="R58" s="83"/>
      <c r="S58" s="83"/>
      <c r="T58" s="83"/>
      <c r="U58" s="83"/>
      <c r="V58" s="83"/>
      <c r="W58" s="83"/>
      <c r="X58" s="83"/>
    </row>
    <row r="59" spans="1:24" x14ac:dyDescent="0.25">
      <c r="A59" s="13"/>
      <c r="B59" s="13"/>
      <c r="C59" s="13"/>
      <c r="D59" s="13"/>
      <c r="E59" s="13"/>
      <c r="F59" s="13"/>
      <c r="N59" s="98"/>
      <c r="O59" s="108"/>
      <c r="P59" s="108"/>
    </row>
    <row r="60" spans="1:24" x14ac:dyDescent="0.25">
      <c r="A60" s="13"/>
      <c r="B60" s="13"/>
      <c r="C60" s="13"/>
      <c r="D60" s="13"/>
      <c r="E60" s="13"/>
      <c r="F60" s="13"/>
      <c r="N60" s="98"/>
      <c r="O60" s="108"/>
      <c r="P60" s="108"/>
    </row>
    <row r="61" spans="1:24" x14ac:dyDescent="0.25">
      <c r="A61" s="13"/>
      <c r="B61" s="13"/>
      <c r="C61" s="13"/>
      <c r="D61" s="13"/>
      <c r="E61" s="13"/>
      <c r="F61" s="13"/>
      <c r="N61" s="98"/>
    </row>
    <row r="62" spans="1:24" x14ac:dyDescent="0.25">
      <c r="A62" s="13"/>
      <c r="B62" s="13"/>
      <c r="C62" s="13"/>
      <c r="D62" s="13"/>
      <c r="E62" s="13"/>
      <c r="F62" s="13"/>
      <c r="N62" s="98"/>
    </row>
    <row r="63" spans="1:24" x14ac:dyDescent="0.25">
      <c r="A63" s="13"/>
      <c r="B63" s="13"/>
      <c r="C63" s="13"/>
      <c r="D63" s="13"/>
      <c r="E63" s="13"/>
      <c r="F63" s="13"/>
    </row>
    <row r="64" spans="1:24" x14ac:dyDescent="0.25">
      <c r="A64" s="13"/>
      <c r="B64" s="13"/>
      <c r="C64" s="13"/>
      <c r="D64" s="13"/>
      <c r="E64" s="13"/>
      <c r="F64" s="13"/>
    </row>
    <row r="65" spans="1:14" x14ac:dyDescent="0.25">
      <c r="A65" s="13"/>
      <c r="B65" s="13"/>
      <c r="C65" s="13"/>
      <c r="D65" s="13"/>
      <c r="E65" s="13"/>
      <c r="F65" s="13"/>
    </row>
    <row r="66" spans="1:14" s="13" customFormat="1" x14ac:dyDescent="0.25">
      <c r="L66" s="16"/>
      <c r="M66" s="16"/>
      <c r="N66" s="83"/>
    </row>
    <row r="67" spans="1:14" s="13" customFormat="1" x14ac:dyDescent="0.25">
      <c r="L67" s="16"/>
      <c r="M67" s="16"/>
      <c r="N67" s="83"/>
    </row>
    <row r="68" spans="1:14" s="13" customFormat="1" x14ac:dyDescent="0.25">
      <c r="L68" s="16"/>
      <c r="M68" s="16"/>
      <c r="N68" s="83"/>
    </row>
    <row r="69" spans="1:14" s="13" customFormat="1" x14ac:dyDescent="0.25">
      <c r="L69" s="16"/>
      <c r="M69" s="16"/>
      <c r="N69" s="83"/>
    </row>
    <row r="70" spans="1:14" s="13" customFormat="1" x14ac:dyDescent="0.25">
      <c r="L70" s="16"/>
      <c r="M70" s="16"/>
      <c r="N70" s="83"/>
    </row>
    <row r="71" spans="1:14" s="13" customFormat="1" x14ac:dyDescent="0.25">
      <c r="L71" s="16"/>
      <c r="M71" s="16"/>
      <c r="N71" s="83"/>
    </row>
    <row r="72" spans="1:14" s="13" customFormat="1" x14ac:dyDescent="0.25">
      <c r="L72" s="16"/>
      <c r="M72" s="16"/>
      <c r="N72" s="83"/>
    </row>
    <row r="73" spans="1:14" s="13" customFormat="1" x14ac:dyDescent="0.25">
      <c r="L73" s="16"/>
      <c r="M73" s="16"/>
      <c r="N73" s="83"/>
    </row>
    <row r="74" spans="1:14" s="13" customFormat="1" x14ac:dyDescent="0.25">
      <c r="L74" s="16"/>
      <c r="M74" s="16"/>
      <c r="N74" s="83"/>
    </row>
    <row r="75" spans="1:14" s="13" customFormat="1" x14ac:dyDescent="0.25">
      <c r="L75" s="16"/>
      <c r="M75" s="16"/>
      <c r="N75" s="83"/>
    </row>
    <row r="76" spans="1:14" s="13" customFormat="1" x14ac:dyDescent="0.25">
      <c r="L76" s="16"/>
      <c r="M76" s="16"/>
      <c r="N76" s="83"/>
    </row>
    <row r="77" spans="1:14" s="13" customFormat="1" x14ac:dyDescent="0.25">
      <c r="L77" s="16"/>
      <c r="M77" s="16"/>
      <c r="N77" s="83"/>
    </row>
    <row r="78" spans="1:14" s="13" customFormat="1" x14ac:dyDescent="0.25">
      <c r="L78" s="16"/>
      <c r="M78" s="16"/>
      <c r="N78" s="83"/>
    </row>
    <row r="79" spans="1:14" s="13" customFormat="1" x14ac:dyDescent="0.25">
      <c r="L79" s="16"/>
      <c r="M79" s="16"/>
      <c r="N79" s="83"/>
    </row>
    <row r="80" spans="1:14" s="13" customFormat="1" x14ac:dyDescent="0.25">
      <c r="L80" s="16"/>
      <c r="M80" s="16"/>
      <c r="N80" s="83"/>
    </row>
    <row r="81" spans="12:14" s="13" customFormat="1" x14ac:dyDescent="0.25">
      <c r="L81" s="16"/>
      <c r="M81" s="16"/>
      <c r="N81" s="83"/>
    </row>
    <row r="82" spans="12:14" s="13" customFormat="1" x14ac:dyDescent="0.25">
      <c r="L82" s="16"/>
      <c r="M82" s="16"/>
      <c r="N82" s="83"/>
    </row>
    <row r="83" spans="12:14" s="13" customFormat="1" x14ac:dyDescent="0.25">
      <c r="L83" s="16"/>
      <c r="M83" s="16"/>
      <c r="N83" s="83"/>
    </row>
    <row r="84" spans="12:14" s="13" customFormat="1" x14ac:dyDescent="0.25">
      <c r="L84" s="16"/>
      <c r="M84" s="16"/>
      <c r="N84" s="83"/>
    </row>
    <row r="85" spans="12:14" s="13" customFormat="1" x14ac:dyDescent="0.25">
      <c r="L85" s="16"/>
      <c r="M85" s="16"/>
      <c r="N85" s="83"/>
    </row>
    <row r="86" spans="12:14" s="13" customFormat="1" x14ac:dyDescent="0.25">
      <c r="L86" s="16"/>
      <c r="M86" s="16"/>
      <c r="N86" s="83"/>
    </row>
    <row r="87" spans="12:14" s="13" customFormat="1" x14ac:dyDescent="0.25">
      <c r="L87" s="16"/>
      <c r="M87" s="16"/>
      <c r="N87" s="83"/>
    </row>
    <row r="88" spans="12:14" s="13" customFormat="1" x14ac:dyDescent="0.25">
      <c r="L88" s="16"/>
      <c r="M88" s="16"/>
      <c r="N88" s="83"/>
    </row>
    <row r="89" spans="12:14" s="13" customFormat="1" x14ac:dyDescent="0.25">
      <c r="L89" s="16"/>
      <c r="M89" s="16"/>
      <c r="N89" s="83"/>
    </row>
    <row r="90" spans="12:14" s="13" customFormat="1" x14ac:dyDescent="0.25">
      <c r="L90" s="16"/>
      <c r="M90" s="16"/>
      <c r="N90" s="83"/>
    </row>
    <row r="91" spans="12:14" s="13" customFormat="1" x14ac:dyDescent="0.25">
      <c r="L91" s="16"/>
      <c r="M91" s="16"/>
      <c r="N91" s="83"/>
    </row>
    <row r="92" spans="12:14" s="13" customFormat="1" x14ac:dyDescent="0.25">
      <c r="L92" s="16"/>
      <c r="M92" s="16"/>
      <c r="N92" s="83"/>
    </row>
    <row r="93" spans="12:14" s="13" customFormat="1" x14ac:dyDescent="0.25">
      <c r="L93" s="16"/>
      <c r="M93" s="16"/>
      <c r="N93" s="83"/>
    </row>
    <row r="94" spans="12:14" s="13" customFormat="1" x14ac:dyDescent="0.25">
      <c r="L94" s="16"/>
      <c r="M94" s="16"/>
      <c r="N94" s="83"/>
    </row>
    <row r="95" spans="12:14" s="13" customFormat="1" x14ac:dyDescent="0.25">
      <c r="L95" s="16"/>
      <c r="M95" s="16"/>
      <c r="N95" s="83"/>
    </row>
    <row r="96" spans="12:14" s="13" customFormat="1" x14ac:dyDescent="0.25">
      <c r="L96" s="16"/>
      <c r="M96" s="16"/>
      <c r="N96" s="83"/>
    </row>
    <row r="97" spans="12:14" s="13" customFormat="1" x14ac:dyDescent="0.25">
      <c r="L97" s="16"/>
      <c r="M97" s="16"/>
      <c r="N97" s="83"/>
    </row>
    <row r="98" spans="12:14" s="13" customFormat="1" x14ac:dyDescent="0.25">
      <c r="L98" s="16"/>
      <c r="M98" s="16"/>
      <c r="N98" s="83"/>
    </row>
    <row r="99" spans="12:14" s="13" customFormat="1" x14ac:dyDescent="0.25">
      <c r="L99" s="16"/>
      <c r="M99" s="16"/>
      <c r="N99" s="83"/>
    </row>
    <row r="100" spans="12:14" s="13" customFormat="1" x14ac:dyDescent="0.25">
      <c r="L100" s="16"/>
      <c r="M100" s="16"/>
      <c r="N100" s="83"/>
    </row>
    <row r="101" spans="12:14" s="13" customFormat="1" x14ac:dyDescent="0.25">
      <c r="L101" s="16"/>
      <c r="M101" s="16"/>
      <c r="N101" s="83"/>
    </row>
    <row r="102" spans="12:14" s="13" customFormat="1" x14ac:dyDescent="0.25">
      <c r="L102" s="16"/>
      <c r="M102" s="16"/>
      <c r="N102" s="83"/>
    </row>
    <row r="103" spans="12:14" s="13" customFormat="1" x14ac:dyDescent="0.25">
      <c r="L103" s="16"/>
      <c r="M103" s="16"/>
      <c r="N103" s="83"/>
    </row>
    <row r="104" spans="12:14" s="13" customFormat="1" x14ac:dyDescent="0.25">
      <c r="L104" s="16"/>
      <c r="M104" s="16"/>
      <c r="N104" s="83"/>
    </row>
    <row r="105" spans="12:14" s="13" customFormat="1" x14ac:dyDescent="0.25">
      <c r="L105" s="16"/>
      <c r="M105" s="16"/>
      <c r="N105" s="83"/>
    </row>
    <row r="106" spans="12:14" s="13" customFormat="1" x14ac:dyDescent="0.25">
      <c r="L106" s="16"/>
      <c r="M106" s="16"/>
      <c r="N106" s="83"/>
    </row>
    <row r="107" spans="12:14" s="13" customFormat="1" x14ac:dyDescent="0.25">
      <c r="L107" s="16"/>
      <c r="M107" s="16"/>
      <c r="N107" s="83"/>
    </row>
    <row r="108" spans="12:14" s="13" customFormat="1" x14ac:dyDescent="0.25">
      <c r="L108" s="16"/>
      <c r="M108" s="16"/>
      <c r="N108" s="83"/>
    </row>
    <row r="109" spans="12:14" s="13" customFormat="1" x14ac:dyDescent="0.25">
      <c r="L109" s="16"/>
      <c r="M109" s="16"/>
      <c r="N109" s="83"/>
    </row>
    <row r="110" spans="12:14" s="13" customFormat="1" x14ac:dyDescent="0.25">
      <c r="L110" s="16"/>
      <c r="M110" s="16"/>
      <c r="N110" s="83"/>
    </row>
    <row r="111" spans="12:14" s="13" customFormat="1" x14ac:dyDescent="0.25">
      <c r="L111" s="16"/>
      <c r="M111" s="16"/>
      <c r="N111" s="83"/>
    </row>
    <row r="112" spans="12:14" s="13" customFormat="1" x14ac:dyDescent="0.25">
      <c r="L112" s="16"/>
      <c r="M112" s="16"/>
      <c r="N112" s="83"/>
    </row>
    <row r="113" spans="12:14" s="13" customFormat="1" x14ac:dyDescent="0.25">
      <c r="L113" s="16"/>
      <c r="M113" s="16"/>
      <c r="N113" s="83"/>
    </row>
    <row r="114" spans="12:14" s="13" customFormat="1" x14ac:dyDescent="0.25">
      <c r="L114" s="16"/>
      <c r="M114" s="16"/>
      <c r="N114" s="83"/>
    </row>
    <row r="115" spans="12:14" s="13" customFormat="1" x14ac:dyDescent="0.25">
      <c r="L115" s="16"/>
      <c r="M115" s="16"/>
      <c r="N115" s="83"/>
    </row>
    <row r="116" spans="12:14" s="13" customFormat="1" x14ac:dyDescent="0.25">
      <c r="L116" s="16"/>
      <c r="M116" s="16"/>
      <c r="N116" s="83"/>
    </row>
    <row r="117" spans="12:14" s="13" customFormat="1" x14ac:dyDescent="0.25">
      <c r="L117" s="16"/>
      <c r="M117" s="16"/>
      <c r="N117" s="83"/>
    </row>
    <row r="118" spans="12:14" s="13" customFormat="1" x14ac:dyDescent="0.25">
      <c r="L118" s="16"/>
      <c r="M118" s="16"/>
      <c r="N118" s="83"/>
    </row>
    <row r="119" spans="12:14" s="13" customFormat="1" x14ac:dyDescent="0.25">
      <c r="L119" s="16"/>
      <c r="M119" s="16"/>
      <c r="N119" s="83"/>
    </row>
    <row r="120" spans="12:14" s="13" customFormat="1" x14ac:dyDescent="0.25">
      <c r="L120" s="16"/>
      <c r="M120" s="16"/>
      <c r="N120" s="83"/>
    </row>
    <row r="121" spans="12:14" s="13" customFormat="1" x14ac:dyDescent="0.25">
      <c r="L121" s="16"/>
      <c r="M121" s="16"/>
      <c r="N121" s="83"/>
    </row>
    <row r="122" spans="12:14" s="13" customFormat="1" x14ac:dyDescent="0.25">
      <c r="L122" s="16"/>
      <c r="M122" s="16"/>
      <c r="N122" s="83"/>
    </row>
    <row r="123" spans="12:14" s="13" customFormat="1" x14ac:dyDescent="0.25">
      <c r="L123" s="16"/>
      <c r="M123" s="16"/>
      <c r="N123" s="83"/>
    </row>
    <row r="124" spans="12:14" s="13" customFormat="1" x14ac:dyDescent="0.25">
      <c r="L124" s="16"/>
      <c r="M124" s="16"/>
      <c r="N124" s="83"/>
    </row>
    <row r="125" spans="12:14" s="13" customFormat="1" x14ac:dyDescent="0.25">
      <c r="L125" s="16"/>
      <c r="M125" s="16"/>
      <c r="N125" s="83"/>
    </row>
    <row r="126" spans="12:14" s="13" customFormat="1" x14ac:dyDescent="0.25">
      <c r="L126" s="16"/>
      <c r="M126" s="16"/>
      <c r="N126" s="83"/>
    </row>
    <row r="127" spans="12:14" s="13" customFormat="1" x14ac:dyDescent="0.25">
      <c r="L127" s="16"/>
      <c r="M127" s="16"/>
      <c r="N127" s="83"/>
    </row>
    <row r="128" spans="12:14" s="13" customFormat="1" x14ac:dyDescent="0.25">
      <c r="L128" s="16"/>
      <c r="M128" s="16"/>
      <c r="N128" s="83"/>
    </row>
    <row r="129" spans="12:14" s="13" customFormat="1" x14ac:dyDescent="0.25">
      <c r="L129" s="16"/>
      <c r="M129" s="16"/>
      <c r="N129" s="83"/>
    </row>
    <row r="130" spans="12:14" s="13" customFormat="1" x14ac:dyDescent="0.25">
      <c r="L130" s="16"/>
      <c r="M130" s="16"/>
      <c r="N130" s="83"/>
    </row>
    <row r="131" spans="12:14" s="13" customFormat="1" x14ac:dyDescent="0.25">
      <c r="L131" s="16"/>
      <c r="M131" s="16"/>
      <c r="N131" s="83"/>
    </row>
    <row r="132" spans="12:14" s="13" customFormat="1" x14ac:dyDescent="0.25">
      <c r="L132" s="16"/>
      <c r="M132" s="16"/>
      <c r="N132" s="83"/>
    </row>
    <row r="133" spans="12:14" s="13" customFormat="1" x14ac:dyDescent="0.25">
      <c r="L133" s="16"/>
      <c r="M133" s="16"/>
      <c r="N133" s="83"/>
    </row>
    <row r="134" spans="12:14" s="13" customFormat="1" x14ac:dyDescent="0.25">
      <c r="L134" s="16"/>
      <c r="M134" s="16"/>
      <c r="N134" s="83"/>
    </row>
    <row r="135" spans="12:14" s="13" customFormat="1" x14ac:dyDescent="0.25">
      <c r="L135" s="16"/>
      <c r="M135" s="16"/>
      <c r="N135" s="83"/>
    </row>
    <row r="136" spans="12:14" s="13" customFormat="1" x14ac:dyDescent="0.25">
      <c r="L136" s="16"/>
      <c r="M136" s="16"/>
      <c r="N136" s="83"/>
    </row>
    <row r="137" spans="12:14" s="13" customFormat="1" x14ac:dyDescent="0.25">
      <c r="L137" s="16"/>
      <c r="M137" s="16"/>
      <c r="N137" s="83"/>
    </row>
    <row r="138" spans="12:14" s="13" customFormat="1" x14ac:dyDescent="0.25">
      <c r="L138" s="16"/>
      <c r="M138" s="16"/>
      <c r="N138" s="83"/>
    </row>
    <row r="139" spans="12:14" s="13" customFormat="1" x14ac:dyDescent="0.25">
      <c r="L139" s="16"/>
      <c r="M139" s="16"/>
      <c r="N139" s="83"/>
    </row>
    <row r="140" spans="12:14" s="13" customFormat="1" x14ac:dyDescent="0.25">
      <c r="L140" s="16"/>
      <c r="M140" s="16"/>
      <c r="N140" s="83"/>
    </row>
    <row r="141" spans="12:14" s="13" customFormat="1" x14ac:dyDescent="0.25">
      <c r="L141" s="16"/>
      <c r="M141" s="16"/>
      <c r="N141" s="83"/>
    </row>
  </sheetData>
  <sheetProtection algorithmName="SHA-512" hashValue="Fsu2DBL2EMukNJx/t/6r9WVflNphWxSpjMwR9YA1pHqf5+U6PR/hoBmXoQ9gTxzzMZJnNhmRt+hl+0MvA41z8g==" saltValue="ZmKjbz9+B7YYDz8N69lKwA==" spinCount="100000" sheet="1" objects="1" scenarios="1"/>
  <mergeCells count="74">
    <mergeCell ref="C56:D56"/>
    <mergeCell ref="A50:D50"/>
    <mergeCell ref="A52:C52"/>
    <mergeCell ref="A54:D54"/>
    <mergeCell ref="A48:D48"/>
    <mergeCell ref="N24:Y24"/>
    <mergeCell ref="A27:C27"/>
    <mergeCell ref="A29:C29"/>
    <mergeCell ref="A31:C31"/>
    <mergeCell ref="A33:C33"/>
    <mergeCell ref="O25:R25"/>
    <mergeCell ref="A44:D44"/>
    <mergeCell ref="A46:D46"/>
    <mergeCell ref="O29:Q29"/>
    <mergeCell ref="O30:Q30"/>
    <mergeCell ref="O31:Q31"/>
    <mergeCell ref="A35:D35"/>
    <mergeCell ref="O37:Q37"/>
    <mergeCell ref="A37:B37"/>
    <mergeCell ref="A40:B40"/>
    <mergeCell ref="A42:C42"/>
    <mergeCell ref="O40:Q40"/>
    <mergeCell ref="O41:Q41"/>
    <mergeCell ref="A18:D18"/>
    <mergeCell ref="A19:D19"/>
    <mergeCell ref="O19:P19"/>
    <mergeCell ref="Q19:R19"/>
    <mergeCell ref="A21:D21"/>
    <mergeCell ref="O21:P21"/>
    <mergeCell ref="Q21:R21"/>
    <mergeCell ref="C17:D17"/>
    <mergeCell ref="O17:P17"/>
    <mergeCell ref="Q17:R17"/>
    <mergeCell ref="C11:D11"/>
    <mergeCell ref="O11:P11"/>
    <mergeCell ref="Q11:R11"/>
    <mergeCell ref="C12:D12"/>
    <mergeCell ref="C13:D13"/>
    <mergeCell ref="O13:P13"/>
    <mergeCell ref="Q13:R13"/>
    <mergeCell ref="C14:D14"/>
    <mergeCell ref="C15:D15"/>
    <mergeCell ref="O15:P15"/>
    <mergeCell ref="Q15:R15"/>
    <mergeCell ref="C16:D16"/>
    <mergeCell ref="O6:R6"/>
    <mergeCell ref="AC5:AD5"/>
    <mergeCell ref="A2:D2"/>
    <mergeCell ref="C10:D10"/>
    <mergeCell ref="C3:D3"/>
    <mergeCell ref="C4:D4"/>
    <mergeCell ref="C5:D5"/>
    <mergeCell ref="C6:D6"/>
    <mergeCell ref="C7:D7"/>
    <mergeCell ref="C8:D8"/>
    <mergeCell ref="O8:P8"/>
    <mergeCell ref="Q8:R8"/>
    <mergeCell ref="C9:D9"/>
    <mergeCell ref="AB3:AK3"/>
    <mergeCell ref="O49:Q49"/>
    <mergeCell ref="O47:Q47"/>
    <mergeCell ref="O27:Q27"/>
    <mergeCell ref="O28:Q28"/>
    <mergeCell ref="O33:R33"/>
    <mergeCell ref="O42:Q42"/>
    <mergeCell ref="O43:Q43"/>
    <mergeCell ref="O44:Q44"/>
    <mergeCell ref="O45:Q45"/>
    <mergeCell ref="O46:Q46"/>
    <mergeCell ref="O34:Q34"/>
    <mergeCell ref="O35:Q35"/>
    <mergeCell ref="O36:Q36"/>
    <mergeCell ref="O38:Q38"/>
    <mergeCell ref="O39:Q39"/>
  </mergeCells>
  <conditionalFormatting sqref="A25:D25">
    <cfRule type="containsBlanks" dxfId="8" priority="1">
      <formula>LEN(TRIM(A25))=0</formula>
    </cfRule>
  </conditionalFormatting>
  <conditionalFormatting sqref="B3:B5">
    <cfRule type="containsBlanks" dxfId="7" priority="12">
      <formula>LEN(TRIM(B3))=0</formula>
    </cfRule>
  </conditionalFormatting>
  <conditionalFormatting sqref="B7:B16">
    <cfRule type="containsBlanks" dxfId="6" priority="11">
      <formula>LEN(TRIM(B7))=0</formula>
    </cfRule>
  </conditionalFormatting>
  <conditionalFormatting sqref="E3:E4">
    <cfRule type="containsBlanks" dxfId="5" priority="10">
      <formula>LEN(TRIM(E3))=0</formula>
    </cfRule>
  </conditionalFormatting>
  <conditionalFormatting sqref="E7:E16">
    <cfRule type="containsBlanks" dxfId="4" priority="9">
      <formula>LEN(TRIM(E7))=0</formula>
    </cfRule>
  </conditionalFormatting>
  <conditionalFormatting sqref="E50">
    <cfRule type="containsBlanks" dxfId="3" priority="4">
      <formula>LEN(TRIM(E50))=0</formula>
    </cfRule>
  </conditionalFormatting>
  <conditionalFormatting sqref="O44:Q47">
    <cfRule type="containsBlanks" dxfId="2" priority="2">
      <formula>LEN(TRIM(O44))=0</formula>
    </cfRule>
  </conditionalFormatting>
  <conditionalFormatting sqref="R29">
    <cfRule type="containsBlanks" dxfId="1" priority="7">
      <formula>LEN(TRIM(R29))=0</formula>
    </cfRule>
  </conditionalFormatting>
  <conditionalFormatting sqref="R34:R47">
    <cfRule type="containsBlanks" dxfId="0" priority="6">
      <formula>LEN(TRIM(R34))=0</formula>
    </cfRule>
  </conditionalFormatting>
  <dataValidations count="4">
    <dataValidation type="list" allowBlank="1" showInputMessage="1" showErrorMessage="1" sqref="F5" xr:uid="{EC8E5BA4-88B6-4446-BEB0-1CC3053EF8E1}">
      <formula1>$G$16:$G$41</formula1>
    </dataValidation>
    <dataValidation type="list" allowBlank="1" showInputMessage="1" showErrorMessage="1" prompt="Single: Single_x000a_MFJ: Married Filing Jointly_x000a_MFS: Married Filing Separately_x000a_HH: Head of Household" sqref="E5" xr:uid="{8BB8DD2E-84F7-41D1-8E96-5A7C69C41918}">
      <formula1>"Single, MFJ, MFS, HH"</formula1>
    </dataValidation>
    <dataValidation type="list" allowBlank="1" showInputMessage="1" showErrorMessage="1" sqref="E2" xr:uid="{06261A7C-64FA-4E09-BC37-248A3C1CD6A3}">
      <formula1>year_list</formula1>
    </dataValidation>
    <dataValidation type="list" allowBlank="1" showInputMessage="1" showErrorMessage="1" sqref="AC5" xr:uid="{91966DC4-59C6-4EF0-9C8F-13FBA7EEE514}">
      <formula1>status_list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D2D61-089B-4822-93B7-011D2EE86271}">
  <sheetPr codeName="Sheet2"/>
  <dimension ref="A1:D58"/>
  <sheetViews>
    <sheetView workbookViewId="0">
      <selection activeCell="I7" sqref="I7"/>
    </sheetView>
  </sheetViews>
  <sheetFormatPr defaultRowHeight="15" x14ac:dyDescent="0.25"/>
  <cols>
    <col min="1" max="1" width="16.42578125" customWidth="1"/>
    <col min="2" max="2" width="31" customWidth="1"/>
    <col min="3" max="3" width="56" customWidth="1"/>
    <col min="4" max="4" width="43.7109375" customWidth="1"/>
    <col min="5" max="5" width="16.42578125" customWidth="1"/>
  </cols>
  <sheetData>
    <row r="1" spans="1:4" ht="30" customHeight="1" x14ac:dyDescent="0.25">
      <c r="A1" s="69" t="s">
        <v>95</v>
      </c>
    </row>
    <row r="2" spans="1:4" ht="30" customHeight="1" x14ac:dyDescent="0.35">
      <c r="A2" s="70" t="s">
        <v>96</v>
      </c>
      <c r="B2" s="71" t="s">
        <v>97</v>
      </c>
      <c r="C2" s="72" t="s">
        <v>98</v>
      </c>
      <c r="D2" s="73"/>
    </row>
    <row r="3" spans="1:4" ht="30" customHeight="1" x14ac:dyDescent="0.25">
      <c r="A3" s="69"/>
      <c r="B3" s="1"/>
      <c r="C3" s="8"/>
    </row>
    <row r="4" spans="1:4" ht="30" customHeight="1" x14ac:dyDescent="0.25">
      <c r="A4" s="74" t="s">
        <v>99</v>
      </c>
      <c r="B4" s="74" t="s">
        <v>100</v>
      </c>
      <c r="C4" s="74" t="s">
        <v>101</v>
      </c>
      <c r="D4" s="75" t="s">
        <v>102</v>
      </c>
    </row>
    <row r="5" spans="1:4" ht="30" customHeight="1" x14ac:dyDescent="0.25">
      <c r="A5" s="76" t="s">
        <v>103</v>
      </c>
      <c r="B5" s="76" t="s">
        <v>104</v>
      </c>
      <c r="C5" s="77" t="s">
        <v>105</v>
      </c>
      <c r="D5" s="76" t="s">
        <v>106</v>
      </c>
    </row>
    <row r="6" spans="1:4" ht="30" customHeight="1" x14ac:dyDescent="0.25">
      <c r="A6" s="76" t="s">
        <v>107</v>
      </c>
      <c r="B6" s="76" t="s">
        <v>108</v>
      </c>
      <c r="C6" s="77" t="s">
        <v>109</v>
      </c>
      <c r="D6" s="76" t="s">
        <v>110</v>
      </c>
    </row>
    <row r="7" spans="1:4" ht="30" customHeight="1" x14ac:dyDescent="0.25">
      <c r="A7" s="76" t="s">
        <v>111</v>
      </c>
      <c r="B7" s="76" t="s">
        <v>112</v>
      </c>
      <c r="C7" s="77" t="s">
        <v>113</v>
      </c>
      <c r="D7" s="76" t="s">
        <v>114</v>
      </c>
    </row>
    <row r="8" spans="1:4" ht="30" customHeight="1" x14ac:dyDescent="0.25">
      <c r="A8" s="76" t="s">
        <v>115</v>
      </c>
      <c r="B8" s="76" t="s">
        <v>116</v>
      </c>
      <c r="C8" s="77" t="s">
        <v>117</v>
      </c>
      <c r="D8" s="76" t="s">
        <v>118</v>
      </c>
    </row>
    <row r="9" spans="1:4" ht="30" customHeight="1" x14ac:dyDescent="0.25">
      <c r="A9" s="76" t="s">
        <v>119</v>
      </c>
      <c r="B9" s="76" t="s">
        <v>120</v>
      </c>
      <c r="C9" s="77" t="s">
        <v>121</v>
      </c>
      <c r="D9" s="76" t="s">
        <v>122</v>
      </c>
    </row>
    <row r="10" spans="1:4" ht="30" customHeight="1" x14ac:dyDescent="0.25">
      <c r="A10" s="76" t="s">
        <v>123</v>
      </c>
      <c r="B10" s="76" t="s">
        <v>124</v>
      </c>
      <c r="C10" s="77" t="s">
        <v>125</v>
      </c>
      <c r="D10" s="76" t="s">
        <v>126</v>
      </c>
    </row>
    <row r="11" spans="1:4" ht="30" customHeight="1" x14ac:dyDescent="0.25">
      <c r="A11" s="76" t="s">
        <v>127</v>
      </c>
      <c r="B11" s="76" t="s">
        <v>128</v>
      </c>
      <c r="C11" s="77" t="s">
        <v>129</v>
      </c>
      <c r="D11" s="76" t="s">
        <v>130</v>
      </c>
    </row>
    <row r="12" spans="1:4" ht="30" customHeight="1" x14ac:dyDescent="0.25">
      <c r="A12" s="76" t="s">
        <v>131</v>
      </c>
      <c r="B12" s="76" t="s">
        <v>132</v>
      </c>
      <c r="C12" s="78" t="s">
        <v>133</v>
      </c>
      <c r="D12" s="78" t="s">
        <v>134</v>
      </c>
    </row>
    <row r="13" spans="1:4" ht="30" customHeight="1" x14ac:dyDescent="0.25">
      <c r="A13" s="76" t="s">
        <v>135</v>
      </c>
      <c r="B13" s="76" t="s">
        <v>136</v>
      </c>
      <c r="C13" s="77" t="s">
        <v>137</v>
      </c>
      <c r="D13" s="76" t="s">
        <v>138</v>
      </c>
    </row>
    <row r="14" spans="1:4" ht="30" customHeight="1" x14ac:dyDescent="0.25">
      <c r="A14" s="76" t="s">
        <v>139</v>
      </c>
      <c r="B14" s="76" t="s">
        <v>140</v>
      </c>
      <c r="C14" s="77" t="s">
        <v>141</v>
      </c>
      <c r="D14" s="76" t="s">
        <v>142</v>
      </c>
    </row>
    <row r="15" spans="1:4" ht="30" customHeight="1" x14ac:dyDescent="0.25">
      <c r="A15" s="76" t="s">
        <v>143</v>
      </c>
      <c r="B15" s="76" t="s">
        <v>144</v>
      </c>
      <c r="C15" s="77" t="s">
        <v>145</v>
      </c>
      <c r="D15" s="76" t="s">
        <v>146</v>
      </c>
    </row>
    <row r="16" spans="1:4" ht="30" customHeight="1" x14ac:dyDescent="0.25">
      <c r="A16" s="76" t="s">
        <v>147</v>
      </c>
      <c r="B16" s="76" t="s">
        <v>148</v>
      </c>
      <c r="C16" s="77" t="s">
        <v>149</v>
      </c>
      <c r="D16" s="76" t="s">
        <v>150</v>
      </c>
    </row>
    <row r="17" spans="1:4" ht="30" customHeight="1" x14ac:dyDescent="0.25">
      <c r="A17" s="76" t="s">
        <v>151</v>
      </c>
      <c r="B17" s="76" t="s">
        <v>152</v>
      </c>
      <c r="C17" s="77" t="s">
        <v>153</v>
      </c>
      <c r="D17" s="76" t="s">
        <v>154</v>
      </c>
    </row>
    <row r="18" spans="1:4" ht="30" customHeight="1" x14ac:dyDescent="0.25">
      <c r="A18" s="76" t="s">
        <v>155</v>
      </c>
      <c r="B18" s="76" t="s">
        <v>156</v>
      </c>
      <c r="C18" s="77" t="s">
        <v>157</v>
      </c>
      <c r="D18" s="76" t="s">
        <v>158</v>
      </c>
    </row>
    <row r="19" spans="1:4" ht="30" customHeight="1" x14ac:dyDescent="0.25">
      <c r="A19" s="76" t="s">
        <v>159</v>
      </c>
      <c r="B19" s="76" t="s">
        <v>160</v>
      </c>
      <c r="C19" s="77" t="s">
        <v>161</v>
      </c>
      <c r="D19" s="76" t="s">
        <v>162</v>
      </c>
    </row>
    <row r="20" spans="1:4" ht="30" customHeight="1" x14ac:dyDescent="0.25">
      <c r="A20" s="76" t="s">
        <v>163</v>
      </c>
      <c r="B20" s="76" t="s">
        <v>164</v>
      </c>
      <c r="C20" s="77" t="s">
        <v>165</v>
      </c>
      <c r="D20" s="76" t="s">
        <v>166</v>
      </c>
    </row>
    <row r="21" spans="1:4" ht="30" customHeight="1" x14ac:dyDescent="0.25">
      <c r="A21" s="76" t="s">
        <v>167</v>
      </c>
      <c r="B21" s="76" t="s">
        <v>168</v>
      </c>
      <c r="C21" s="77" t="s">
        <v>169</v>
      </c>
      <c r="D21" s="76" t="s">
        <v>170</v>
      </c>
    </row>
    <row r="22" spans="1:4" ht="30" customHeight="1" x14ac:dyDescent="0.25">
      <c r="A22" s="76" t="s">
        <v>171</v>
      </c>
      <c r="B22" s="76" t="s">
        <v>172</v>
      </c>
      <c r="C22" s="77" t="s">
        <v>173</v>
      </c>
      <c r="D22" s="76" t="s">
        <v>174</v>
      </c>
    </row>
    <row r="23" spans="1:4" ht="30" customHeight="1" x14ac:dyDescent="0.25">
      <c r="A23" s="76" t="s">
        <v>175</v>
      </c>
      <c r="B23" s="76" t="s">
        <v>176</v>
      </c>
      <c r="C23" s="77" t="s">
        <v>177</v>
      </c>
      <c r="D23" s="76" t="s">
        <v>178</v>
      </c>
    </row>
    <row r="24" spans="1:4" ht="30" customHeight="1" x14ac:dyDescent="0.25">
      <c r="A24" s="76" t="s">
        <v>179</v>
      </c>
      <c r="B24" s="76" t="s">
        <v>180</v>
      </c>
      <c r="C24" s="77" t="s">
        <v>181</v>
      </c>
      <c r="D24" s="76" t="s">
        <v>182</v>
      </c>
    </row>
    <row r="25" spans="1:4" ht="30" customHeight="1" x14ac:dyDescent="0.25">
      <c r="A25" s="76" t="s">
        <v>183</v>
      </c>
      <c r="B25" s="76" t="s">
        <v>184</v>
      </c>
      <c r="C25" s="77" t="s">
        <v>185</v>
      </c>
      <c r="D25" s="76" t="s">
        <v>186</v>
      </c>
    </row>
    <row r="26" spans="1:4" ht="30" customHeight="1" x14ac:dyDescent="0.25">
      <c r="A26" s="76" t="s">
        <v>187</v>
      </c>
      <c r="B26" s="76" t="s">
        <v>144</v>
      </c>
      <c r="C26" s="77" t="s">
        <v>188</v>
      </c>
      <c r="D26" s="76" t="s">
        <v>189</v>
      </c>
    </row>
    <row r="27" spans="1:4" ht="30" customHeight="1" x14ac:dyDescent="0.25">
      <c r="A27" s="76" t="s">
        <v>190</v>
      </c>
      <c r="B27" s="76" t="s">
        <v>191</v>
      </c>
      <c r="C27" s="77" t="s">
        <v>192</v>
      </c>
      <c r="D27" s="76" t="s">
        <v>193</v>
      </c>
    </row>
    <row r="28" spans="1:4" ht="30" customHeight="1" x14ac:dyDescent="0.25">
      <c r="A28" s="76" t="s">
        <v>194</v>
      </c>
      <c r="B28" s="76" t="s">
        <v>195</v>
      </c>
      <c r="C28" s="77" t="s">
        <v>196</v>
      </c>
      <c r="D28" s="76" t="s">
        <v>197</v>
      </c>
    </row>
    <row r="29" spans="1:4" ht="30" customHeight="1" x14ac:dyDescent="0.25">
      <c r="A29" s="76" t="s">
        <v>198</v>
      </c>
      <c r="B29" s="76" t="s">
        <v>199</v>
      </c>
      <c r="C29" s="77" t="s">
        <v>200</v>
      </c>
      <c r="D29" s="76" t="s">
        <v>201</v>
      </c>
    </row>
    <row r="30" spans="1:4" ht="30" customHeight="1" x14ac:dyDescent="0.25">
      <c r="A30" s="76" t="s">
        <v>202</v>
      </c>
      <c r="B30" s="76" t="s">
        <v>203</v>
      </c>
      <c r="C30" s="77" t="s">
        <v>204</v>
      </c>
      <c r="D30" s="76" t="s">
        <v>205</v>
      </c>
    </row>
    <row r="31" spans="1:4" ht="30" customHeight="1" x14ac:dyDescent="0.25">
      <c r="A31" s="76" t="s">
        <v>206</v>
      </c>
      <c r="B31" s="76" t="s">
        <v>207</v>
      </c>
      <c r="C31" s="77" t="s">
        <v>208</v>
      </c>
      <c r="D31" s="76" t="s">
        <v>209</v>
      </c>
    </row>
    <row r="32" spans="1:4" ht="30" customHeight="1" x14ac:dyDescent="0.25">
      <c r="A32" s="76" t="s">
        <v>210</v>
      </c>
      <c r="B32" s="76" t="s">
        <v>144</v>
      </c>
      <c r="C32" s="77" t="s">
        <v>211</v>
      </c>
      <c r="D32" s="76" t="s">
        <v>212</v>
      </c>
    </row>
    <row r="33" spans="1:4" ht="30" customHeight="1" x14ac:dyDescent="0.25">
      <c r="A33" s="76" t="s">
        <v>213</v>
      </c>
      <c r="B33" s="76" t="s">
        <v>214</v>
      </c>
      <c r="C33" s="77" t="s">
        <v>215</v>
      </c>
      <c r="D33" s="76" t="s">
        <v>216</v>
      </c>
    </row>
    <row r="34" spans="1:4" ht="30" customHeight="1" x14ac:dyDescent="0.25">
      <c r="A34" s="76" t="s">
        <v>217</v>
      </c>
      <c r="B34" s="76" t="s">
        <v>218</v>
      </c>
      <c r="C34" s="77" t="s">
        <v>219</v>
      </c>
      <c r="D34" s="76" t="s">
        <v>182</v>
      </c>
    </row>
    <row r="35" spans="1:4" ht="30" customHeight="1" x14ac:dyDescent="0.25">
      <c r="A35" s="76" t="s">
        <v>220</v>
      </c>
      <c r="B35" s="76" t="s">
        <v>144</v>
      </c>
      <c r="C35" s="77" t="s">
        <v>221</v>
      </c>
      <c r="D35" s="76" t="s">
        <v>222</v>
      </c>
    </row>
    <row r="36" spans="1:4" ht="30" customHeight="1" x14ac:dyDescent="0.25">
      <c r="A36" s="76" t="s">
        <v>223</v>
      </c>
      <c r="B36" s="78" t="s">
        <v>224</v>
      </c>
      <c r="C36" s="78" t="s">
        <v>225</v>
      </c>
      <c r="D36" s="77" t="s">
        <v>226</v>
      </c>
    </row>
    <row r="37" spans="1:4" ht="30" customHeight="1" x14ac:dyDescent="0.25">
      <c r="A37" s="76" t="s">
        <v>227</v>
      </c>
      <c r="B37" s="76" t="s">
        <v>228</v>
      </c>
      <c r="C37" s="77" t="s">
        <v>229</v>
      </c>
      <c r="D37" s="76" t="s">
        <v>230</v>
      </c>
    </row>
    <row r="38" spans="1:4" ht="30" customHeight="1" x14ac:dyDescent="0.25">
      <c r="A38" s="76" t="s">
        <v>231</v>
      </c>
      <c r="B38" s="76" t="s">
        <v>120</v>
      </c>
      <c r="C38" s="77" t="s">
        <v>232</v>
      </c>
      <c r="D38" s="76" t="s">
        <v>233</v>
      </c>
    </row>
    <row r="39" spans="1:4" ht="30" customHeight="1" x14ac:dyDescent="0.25">
      <c r="A39" s="76" t="s">
        <v>234</v>
      </c>
      <c r="B39" s="76" t="s">
        <v>235</v>
      </c>
      <c r="C39" s="77" t="s">
        <v>236</v>
      </c>
      <c r="D39" s="76" t="s">
        <v>237</v>
      </c>
    </row>
    <row r="40" spans="1:4" ht="30" customHeight="1" x14ac:dyDescent="0.25">
      <c r="A40" s="76" t="s">
        <v>238</v>
      </c>
      <c r="B40" s="76" t="s">
        <v>239</v>
      </c>
      <c r="C40" s="77" t="s">
        <v>240</v>
      </c>
      <c r="D40" s="76" t="s">
        <v>241</v>
      </c>
    </row>
    <row r="41" spans="1:4" ht="30" customHeight="1" x14ac:dyDescent="0.25">
      <c r="A41" s="76" t="s">
        <v>242</v>
      </c>
      <c r="B41" s="76" t="s">
        <v>243</v>
      </c>
      <c r="C41" s="77" t="s">
        <v>244</v>
      </c>
      <c r="D41" s="76" t="s">
        <v>245</v>
      </c>
    </row>
    <row r="42" spans="1:4" ht="30" customHeight="1" x14ac:dyDescent="0.25">
      <c r="A42" s="76" t="s">
        <v>246</v>
      </c>
      <c r="B42" s="76" t="s">
        <v>144</v>
      </c>
      <c r="C42" s="77" t="s">
        <v>247</v>
      </c>
      <c r="D42" s="76" t="s">
        <v>248</v>
      </c>
    </row>
    <row r="43" spans="1:4" ht="30" customHeight="1" x14ac:dyDescent="0.25">
      <c r="A43" s="76" t="s">
        <v>249</v>
      </c>
      <c r="B43" s="76" t="s">
        <v>250</v>
      </c>
      <c r="C43" s="77" t="s">
        <v>251</v>
      </c>
      <c r="D43" s="76" t="s">
        <v>252</v>
      </c>
    </row>
    <row r="44" spans="1:4" ht="30" customHeight="1" x14ac:dyDescent="0.25">
      <c r="A44" s="76" t="s">
        <v>253</v>
      </c>
      <c r="B44" s="76" t="s">
        <v>254</v>
      </c>
      <c r="C44" s="77" t="s">
        <v>255</v>
      </c>
      <c r="D44" s="76" t="s">
        <v>256</v>
      </c>
    </row>
    <row r="45" spans="1:4" ht="30" customHeight="1" x14ac:dyDescent="0.25">
      <c r="A45" s="76" t="s">
        <v>257</v>
      </c>
      <c r="B45" s="76" t="s">
        <v>258</v>
      </c>
      <c r="C45" s="77" t="s">
        <v>259</v>
      </c>
      <c r="D45" s="76" t="s">
        <v>260</v>
      </c>
    </row>
    <row r="46" spans="1:4" ht="30" customHeight="1" x14ac:dyDescent="0.25">
      <c r="A46" s="76" t="s">
        <v>261</v>
      </c>
      <c r="B46" s="76" t="s">
        <v>262</v>
      </c>
      <c r="C46" s="77" t="s">
        <v>263</v>
      </c>
      <c r="D46" s="76" t="s">
        <v>264</v>
      </c>
    </row>
    <row r="47" spans="1:4" ht="30" customHeight="1" x14ac:dyDescent="0.25">
      <c r="A47" s="76" t="s">
        <v>265</v>
      </c>
      <c r="B47" s="78"/>
      <c r="C47" s="78"/>
      <c r="D47" s="79">
        <v>0</v>
      </c>
    </row>
    <row r="48" spans="1:4" ht="30" customHeight="1" x14ac:dyDescent="0.25">
      <c r="A48" s="76" t="s">
        <v>266</v>
      </c>
      <c r="B48" s="78" t="s">
        <v>267</v>
      </c>
      <c r="C48" s="78"/>
      <c r="D48" s="79">
        <v>0</v>
      </c>
    </row>
    <row r="49" spans="1:4" ht="30" customHeight="1" x14ac:dyDescent="0.25">
      <c r="A49" s="76" t="s">
        <v>268</v>
      </c>
      <c r="B49" s="78" t="s">
        <v>267</v>
      </c>
      <c r="C49" s="78"/>
      <c r="D49" s="79">
        <v>0</v>
      </c>
    </row>
    <row r="50" spans="1:4" ht="30" customHeight="1" x14ac:dyDescent="0.25">
      <c r="A50" s="76" t="s">
        <v>269</v>
      </c>
      <c r="B50" s="78" t="s">
        <v>267</v>
      </c>
      <c r="C50" s="78"/>
      <c r="D50" s="79">
        <v>0</v>
      </c>
    </row>
    <row r="51" spans="1:4" ht="30" customHeight="1" x14ac:dyDescent="0.25">
      <c r="A51" s="76" t="s">
        <v>270</v>
      </c>
      <c r="B51" s="78" t="s">
        <v>267</v>
      </c>
      <c r="C51" s="78"/>
      <c r="D51" s="79">
        <v>0</v>
      </c>
    </row>
    <row r="52" spans="1:4" ht="30" customHeight="1" x14ac:dyDescent="0.25">
      <c r="A52" s="76" t="s">
        <v>271</v>
      </c>
      <c r="B52" s="78" t="s">
        <v>272</v>
      </c>
      <c r="C52" s="78"/>
      <c r="D52" s="79">
        <v>0</v>
      </c>
    </row>
    <row r="53" spans="1:4" ht="30" customHeight="1" x14ac:dyDescent="0.25">
      <c r="A53" s="76" t="s">
        <v>273</v>
      </c>
      <c r="B53" s="78" t="s">
        <v>267</v>
      </c>
      <c r="C53" s="78"/>
      <c r="D53" s="79">
        <v>0</v>
      </c>
    </row>
    <row r="54" spans="1:4" ht="30" customHeight="1" x14ac:dyDescent="0.25">
      <c r="A54" s="76" t="s">
        <v>274</v>
      </c>
      <c r="B54" s="78" t="s">
        <v>267</v>
      </c>
      <c r="C54" s="78"/>
      <c r="D54" s="79">
        <v>0</v>
      </c>
    </row>
    <row r="55" spans="1:4" ht="30" customHeight="1" x14ac:dyDescent="0.25">
      <c r="A55" s="76" t="s">
        <v>275</v>
      </c>
      <c r="B55" s="78" t="s">
        <v>267</v>
      </c>
      <c r="C55" s="78"/>
      <c r="D55" s="79">
        <v>0</v>
      </c>
    </row>
    <row r="58" spans="1:4" x14ac:dyDescent="0.25">
      <c r="A58" t="s">
        <v>276</v>
      </c>
    </row>
  </sheetData>
  <hyperlinks>
    <hyperlink ref="C5" r:id="rId1" display="https://myalabamataxes.alabama.gov/" xr:uid="{52F26A91-0875-4A10-8125-E81385B62618}"/>
    <hyperlink ref="C6" r:id="rId2" display="https://www.google.com/search?q=https://aztaxes.gov/PaymentMethod/PaymentOptions" xr:uid="{2D4269B1-172D-4F13-9080-411406E693BF}"/>
    <hyperlink ref="C7" r:id="rId3" display="https://atap.arkansas.gov/" xr:uid="{D5314DED-05F2-474C-8883-69DB365A529D}"/>
    <hyperlink ref="C8" r:id="rId4" display="https://webapp.ftb.ca.gov/webpay/login/login" xr:uid="{74AF3407-DD1F-4359-B920-01B58D7FB9DF}"/>
    <hyperlink ref="C9" r:id="rId5" display="https://tax.colorado.gov/pay-by-credit-debit-echeck" xr:uid="{AA912C6C-E838-46A8-B24B-09C4C1C2193F}"/>
    <hyperlink ref="C10" r:id="rId6" display="https://drs.ct.gov/eservices/" xr:uid="{0DE1C198-5F2B-42AE-AEFB-98A876ACC847}"/>
    <hyperlink ref="C11" r:id="rId7" display="https://tax.delaware.gov/" xr:uid="{128DE1C3-F4FD-4373-980E-1BC55B4F8D6E}"/>
    <hyperlink ref="C13" r:id="rId8" display="https://dor.georgia.gov/make-quick-payment" xr:uid="{48A09912-43D4-4979-8D73-E244C9644A8E}"/>
    <hyperlink ref="C14" r:id="rId9" display="https://portal.ehawaii.gov/business/tax-services/" xr:uid="{A282A12A-E39D-4A14-B24A-BA9E2D44E8A2}"/>
    <hyperlink ref="C15" r:id="rId10" display="https://tax.idaho.gov/online-services/e-pay/" xr:uid="{186EA8E9-7BBF-4A32-8C8C-3117DBF52421}"/>
    <hyperlink ref="C16" r:id="rId11" display="https://tax.illinois.gov/individuals/pay.html" xr:uid="{EC58DD62-0A0E-45D0-B326-AE5218DFE1C8}"/>
    <hyperlink ref="C17" r:id="rId12" display="https://www.in.gov/dor/i-need-to/payments-and-billing/" xr:uid="{8D7DF79E-9672-40F3-B761-506D6FC1A555}"/>
    <hyperlink ref="C18" r:id="rId13" display="https://revenue.iowa.gov/taxes/make-payment" xr:uid="{7BD5847B-5925-4315-8227-44A41714DF90}"/>
    <hyperlink ref="C19" r:id="rId14" display="https://www.kansas.gov/payment-portal/" xr:uid="{7AE5AF56-2F0D-4D16-8AEF-8F9A62A61C8E}"/>
    <hyperlink ref="C20" r:id="rId15" display="https://epayment.ky.gov/EPAY" xr:uid="{FB5FB4EF-AAB9-4278-806C-F3AC4D489912}"/>
    <hyperlink ref="C21" r:id="rId16" display="https://revenue.maine.gov/" xr:uid="{5AC04A72-3167-4178-9549-6D2013A82504}"/>
    <hyperlink ref="C22" r:id="rId17" display="https://interactive.marylandtaxes.gov/Individuals/Payment/" xr:uid="{615D509E-7152-4392-BAA6-2D047CFB7D5C}"/>
    <hyperlink ref="C23" r:id="rId18" display="https://www.mass.gov/info-details/massachusetts-dor-estimated-tax-payments" xr:uid="{4E8594F8-F49F-4283-9CC4-229EBC63AFF9}"/>
    <hyperlink ref="C24" r:id="rId19" display="https://etreas.michigan.gov/" xr:uid="{EC4A7C52-4007-4C77-A583-D89B74CCFD5F}"/>
    <hyperlink ref="C25" r:id="rId20" display="https://www.revenue.state.mn.us/" xr:uid="{FA071681-45EA-43AE-BAD3-D09B9B618C94}"/>
    <hyperlink ref="C26" r:id="rId21" display="https://www.dor.ms.gov/forms-resources/make-online-tax-payments" xr:uid="{2C2BBE8F-E9B8-4E70-8734-08E170914BB6}"/>
    <hyperlink ref="C27" r:id="rId22" display="https://mytax.mo.gov/rptp/portal/home/indiv-income-tax" xr:uid="{2FAF18B7-EF93-4BD4-B784-3A989F353145}"/>
    <hyperlink ref="C28" r:id="rId23" display="https://revenue.mt.gov/taxes/estimated-tax-payments" xr:uid="{D7EF0315-6D81-408A-BA8C-99C3CAE38152}"/>
    <hyperlink ref="C29" r:id="rId24" display="https://revenue.nebraska.gov/individuals/estimated-income-tax" xr:uid="{FFE51449-4982-4EB0-BCB4-67881F981607}"/>
    <hyperlink ref="C30" r:id="rId25" display="https://gtc.revenue.nh.gov/TAP/_/" xr:uid="{1963534C-E74B-4076-9D76-BE0A64157891}"/>
    <hyperlink ref="C31" r:id="rId26" display="https://www.nj.gov/treasury/taxation/njit20.shtml" xr:uid="{DDC90B4C-31D5-45D6-A9EE-5725B14FF1BB}"/>
    <hyperlink ref="C32" r:id="rId27" display="https://tap.state.nm.us/TAP/_/" xr:uid="{33D65FE5-DC54-4922-BB74-432C6999DE4C}"/>
    <hyperlink ref="C33" r:id="rId28" display="https://www.tax.ny.gov/pay/ind/pay-estimated-tax.htm" xr:uid="{91904458-0933-4FDF-8959-01BE9255FBAF}"/>
    <hyperlink ref="C34" r:id="rId29" display="https://www.ncdor.gov/file-pay/file-pay-individuals" xr:uid="{433D47CC-3BF7-4C71-A0CF-F825AACADEEE}"/>
    <hyperlink ref="C35" r:id="rId30" display="https://www.tax.nd.gov/" xr:uid="{C40301C7-EDA1-44C5-B0C5-AE7B295DDC70}"/>
    <hyperlink ref="D36" r:id="rId31" display="https://tax.ohio.gov/wps/portal/gov/tax/individual/pay-now-landing" xr:uid="{1C4E0CF1-4067-43DA-822E-B119394E65EA}"/>
    <hyperlink ref="C37" r:id="rId32" display="https://oktap.tax.ok.gov/" xr:uid="{4674E807-58D2-4D1C-A7FB-1ECF53132540}"/>
    <hyperlink ref="C38" r:id="rId33" display="https://www.oregon.gov/dor/programs/individuals/pages/personal-income-tax-payments.aspx" xr:uid="{1F6F88C9-AC4C-4B18-84F8-CF49A02DFD41}"/>
    <hyperlink ref="C39" r:id="rId34" display="https://www.pa.gov/services/revenue/make-a-personal-income-tax-payment" xr:uid="{BFC1B78A-BF98-435D-80C1-D9662A68595A}"/>
    <hyperlink ref="C40" r:id="rId35" display="https://taxportal.ri.gov/" xr:uid="{028F6623-D113-4D72-8E56-5EB797FEF6FC}"/>
    <hyperlink ref="C41" r:id="rId36" display="https://dor.sc.gov/mydorway" xr:uid="{8D21F4F2-F139-43B2-9846-7621E1105113}"/>
    <hyperlink ref="C42" r:id="rId37" display="https://www.google.com/search?q=https://tap.utah.gov" xr:uid="{D288B975-D3BC-48BE-8E5E-B8C3A04FDDC3}"/>
    <hyperlink ref="C43" r:id="rId38" display="https://www.vermont.gov/service/pay-estimated-income-tax" xr:uid="{92359C54-79F9-434E-8427-119D781265B9}"/>
    <hyperlink ref="C44" r:id="rId39" display="https://www.tax.virginia.gov/individual-estimated-tax-payments" xr:uid="{17DC0CFB-0A5C-48E4-B062-459904C8B9AB}"/>
    <hyperlink ref="C45" r:id="rId40" display="https://www.google.com/search?q=https://mytaxes.wv.gov/Individual/Payments/PayPersonalIncomeTax" xr:uid="{445CB2D1-9E6B-47E8-8578-B1883F8499F0}"/>
    <hyperlink ref="C46" r:id="rId41" display="https://www.revenue.wi.gov/Pages/OnlineServices/Pay.aspx" xr:uid="{7E56CCD1-974C-49FD-B58D-4C8534C252B8}"/>
    <hyperlink ref="C2" r:id="rId42" xr:uid="{B070C4DF-ECC3-4268-A56C-9C3D60A94E6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Tax Estimator</vt:lpstr>
      <vt:lpstr>Links</vt:lpstr>
      <vt:lpstr>status_list</vt:lpstr>
      <vt:lpstr>tax_table</vt:lpstr>
      <vt:lpstr>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Pramod Zacharias</cp:lastModifiedBy>
  <cp:lastPrinted>2025-11-21T15:57:22Z</cp:lastPrinted>
  <dcterms:created xsi:type="dcterms:W3CDTF">2018-05-01T18:36:50Z</dcterms:created>
  <dcterms:modified xsi:type="dcterms:W3CDTF">2025-11-28T15:11:33Z</dcterms:modified>
</cp:coreProperties>
</file>